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450" windowWidth="11670" windowHeight="137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13" i="1" l="1"/>
  <c r="CG18" i="1"/>
  <c r="CG24" i="1"/>
  <c r="CG30" i="1"/>
  <c r="CG12" i="1" l="1"/>
  <c r="CG23" i="1"/>
  <c r="CG11" i="1" s="1"/>
  <c r="CF13" i="1"/>
  <c r="CF18" i="1"/>
  <c r="CF24" i="1"/>
  <c r="CF30" i="1"/>
  <c r="CF23" i="1" l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<sst xmlns="http://schemas.openxmlformats.org/spreadsheetml/2006/main" count="176" uniqueCount="167">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</sst>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1" applyFont="1" applyFill="1" applyBorder="1"/>
    <xf numFmtId="165" fontId="0" fillId="0" borderId="0" xfId="0" applyNumberFormat="1" applyFill="1" applyBorder="1"/>
    <xf numFmtId="165" fontId="5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5" fillId="0" borderId="9" xfId="1" applyNumberFormat="1" applyFont="1" applyFill="1" applyBorder="1" applyAlignment="1"/>
    <xf numFmtId="165" fontId="8" fillId="0" borderId="9" xfId="1" applyNumberFormat="1" applyFont="1" applyFill="1" applyBorder="1" applyAlignment="1"/>
    <xf numFmtId="0" fontId="1" fillId="0" borderId="11" xfId="0" applyFont="1" applyFill="1" applyBorder="1" applyAlignment="1">
      <alignment horizontal="center"/>
    </xf>
    <xf numFmtId="4" fontId="0" fillId="0" borderId="0" xfId="0" applyNumberFormat="1" applyFill="1" applyBorder="1"/>
    <xf numFmtId="43" fontId="0" fillId="0" borderId="0" xfId="2" applyFont="1" applyFill="1" applyBorder="1"/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0" fillId="0" borderId="2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7" fillId="0" borderId="0" xfId="0" applyFont="1" applyFill="1" applyBorder="1" applyAlignment="1">
      <alignment horizontal="left" indent="3"/>
    </xf>
    <xf numFmtId="4" fontId="0" fillId="0" borderId="0" xfId="0" applyNumberFormat="1" applyFill="1"/>
    <xf numFmtId="0" fontId="0" fillId="0" borderId="6" xfId="0" applyFill="1" applyBorder="1"/>
    <xf numFmtId="0" fontId="6" fillId="0" borderId="7" xfId="0" applyFont="1" applyFill="1" applyBorder="1" applyAlignment="1">
      <alignment horizontal="left" indent="3"/>
    </xf>
    <xf numFmtId="0" fontId="0" fillId="0" borderId="7" xfId="0" applyFill="1" applyBorder="1" applyAlignment="1">
      <alignment horizontal="right"/>
    </xf>
    <xf numFmtId="165" fontId="0" fillId="0" borderId="7" xfId="0" applyNumberFormat="1" applyFill="1" applyBorder="1"/>
    <xf numFmtId="4" fontId="0" fillId="0" borderId="7" xfId="0" applyNumberFormat="1" applyFill="1" applyBorder="1"/>
    <xf numFmtId="165" fontId="0" fillId="0" borderId="0" xfId="0" applyNumberFormat="1" applyFill="1"/>
    <xf numFmtId="43" fontId="10" fillId="0" borderId="0" xfId="2" applyFont="1" applyFill="1" applyBorder="1"/>
    <xf numFmtId="43" fontId="0" fillId="0" borderId="0" xfId="0" applyNumberFormat="1" applyFill="1" applyBorder="1"/>
    <xf numFmtId="43" fontId="0" fillId="0" borderId="0" xfId="2" applyNumberFormat="1" applyFont="1" applyFill="1" applyBorder="1"/>
    <xf numFmtId="43" fontId="12" fillId="0" borderId="0" xfId="2" applyFont="1" applyFill="1" applyBorder="1"/>
    <xf numFmtId="0" fontId="0" fillId="0" borderId="0" xfId="0" applyFill="1" applyBorder="1" applyAlignment="1">
      <alignment vertical="top" wrapText="1"/>
    </xf>
    <xf numFmtId="0" fontId="11" fillId="0" borderId="0" xfId="0" applyFont="1" applyFill="1" applyBorder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 applyFill="1" applyBorder="1"/>
    <xf numFmtId="4" fontId="0" fillId="0" borderId="0" xfId="0" applyNumberFormat="1" applyFont="1" applyFill="1" applyBorder="1"/>
    <xf numFmtId="4" fontId="0" fillId="0" borderId="7" xfId="0" applyNumberFormat="1" applyFont="1" applyFill="1" applyBorder="1"/>
    <xf numFmtId="4" fontId="2" fillId="0" borderId="0" xfId="0" applyNumberFormat="1" applyFont="1" applyFill="1" applyBorder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65" fontId="5" fillId="0" borderId="14" xfId="1" applyNumberFormat="1" applyFont="1" applyFill="1" applyBorder="1" applyAlignment="1"/>
    <xf numFmtId="165" fontId="5" fillId="0" borderId="15" xfId="1" applyNumberFormat="1" applyFont="1" applyFill="1" applyBorder="1" applyAlignment="1"/>
    <xf numFmtId="165" fontId="8" fillId="0" borderId="16" xfId="1" applyNumberFormat="1" applyFont="1" applyFill="1" applyBorder="1" applyAlignment="1"/>
    <xf numFmtId="165" fontId="8" fillId="0" borderId="17" xfId="1" applyNumberFormat="1" applyFont="1" applyFill="1" applyBorder="1" applyAlignment="1"/>
    <xf numFmtId="164" fontId="0" fillId="0" borderId="0" xfId="2" applyNumberFormat="1" applyFont="1" applyFill="1" applyBorder="1"/>
    <xf numFmtId="165" fontId="14" fillId="0" borderId="0" xfId="0" applyNumberFormat="1" applyFont="1" applyFill="1" applyBorder="1"/>
    <xf numFmtId="4" fontId="14" fillId="0" borderId="0" xfId="0" applyNumberFormat="1" applyFont="1" applyFill="1" applyBorder="1"/>
    <xf numFmtId="4" fontId="15" fillId="0" borderId="0" xfId="0" applyNumberFormat="1" applyFont="1" applyFill="1" applyBorder="1"/>
    <xf numFmtId="166" fontId="14" fillId="0" borderId="0" xfId="0" applyNumberFormat="1" applyFont="1" applyFill="1" applyBorder="1"/>
    <xf numFmtId="2" fontId="14" fillId="0" borderId="0" xfId="0" applyNumberFormat="1" applyFont="1" applyFill="1" applyBorder="1"/>
    <xf numFmtId="4" fontId="14" fillId="0" borderId="0" xfId="2" applyNumberFormat="1" applyFont="1" applyFill="1" applyBorder="1"/>
    <xf numFmtId="4" fontId="16" fillId="0" borderId="0" xfId="0" applyNumberFormat="1" applyFont="1" applyFill="1" applyBorder="1"/>
    <xf numFmtId="43" fontId="0" fillId="0" borderId="0" xfId="2" applyFont="1" applyFill="1"/>
    <xf numFmtId="43" fontId="0" fillId="0" borderId="0" xfId="0" applyNumberFormat="1" applyFill="1"/>
    <xf numFmtId="164" fontId="0" fillId="0" borderId="0" xfId="0" applyNumberFormat="1" applyFill="1"/>
    <xf numFmtId="165" fontId="15" fillId="0" borderId="0" xfId="0" applyNumberFormat="1" applyFont="1" applyFill="1" applyBorder="1"/>
    <xf numFmtId="4" fontId="14" fillId="0" borderId="7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165" fontId="8" fillId="0" borderId="7" xfId="1" applyNumberFormat="1" applyFont="1" applyFill="1" applyBorder="1" applyAlignment="1"/>
    <xf numFmtId="0" fontId="10" fillId="0" borderId="12" xfId="0" applyFont="1" applyFill="1" applyBorder="1" applyAlignment="1">
      <alignment horizontal="center"/>
    </xf>
    <xf numFmtId="2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4" fontId="10" fillId="0" borderId="0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167" fontId="0" fillId="0" borderId="0" xfId="0" applyNumberFormat="1" applyFill="1" applyBorder="1"/>
    <xf numFmtId="168" fontId="0" fillId="0" borderId="0" xfId="0" applyNumberFormat="1" applyFill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 applyFill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 applyFill="1" applyBorder="1"/>
    <xf numFmtId="165" fontId="11" fillId="0" borderId="0" xfId="2" applyNumberFormat="1" applyFont="1" applyFill="1" applyBorder="1"/>
    <xf numFmtId="43" fontId="10" fillId="0" borderId="0" xfId="0" applyNumberFormat="1" applyFont="1" applyFill="1" applyBorder="1"/>
    <xf numFmtId="4" fontId="10" fillId="0" borderId="4" xfId="0" applyNumberFormat="1" applyFont="1" applyFill="1" applyBorder="1"/>
    <xf numFmtId="169" fontId="10" fillId="0" borderId="0" xfId="0" applyNumberFormat="1" applyFont="1" applyFill="1" applyBorder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0" xfId="0" applyNumberFormat="1" applyFont="1" applyFill="1" applyBorder="1" applyAlignment="1">
      <alignment horizontal="right"/>
    </xf>
    <xf numFmtId="4" fontId="0" fillId="0" borderId="7" xfId="0" applyNumberFormat="1" applyFont="1" applyFill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Fill="1" applyBorder="1"/>
    <xf numFmtId="4" fontId="0" fillId="0" borderId="2" xfId="2" applyNumberFormat="1" applyFont="1" applyFill="1" applyBorder="1"/>
    <xf numFmtId="4" fontId="0" fillId="0" borderId="8" xfId="0" applyNumberFormat="1" applyFill="1" applyBorder="1"/>
    <xf numFmtId="4" fontId="10" fillId="0" borderId="2" xfId="0" applyNumberFormat="1" applyFont="1" applyFill="1" applyBorder="1"/>
    <xf numFmtId="170" fontId="0" fillId="0" borderId="0" xfId="0" applyNumberFormat="1" applyFill="1" applyBorder="1"/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/>
    <xf numFmtId="0" fontId="24" fillId="0" borderId="0" xfId="0" applyFont="1" applyFill="1" applyBorder="1"/>
    <xf numFmtId="43" fontId="24" fillId="0" borderId="0" xfId="2" applyFont="1" applyFill="1" applyBorder="1"/>
    <xf numFmtId="171" fontId="0" fillId="0" borderId="0" xfId="0" applyNumberFormat="1" applyFill="1" applyBorder="1"/>
    <xf numFmtId="164" fontId="0" fillId="0" borderId="0" xfId="0" applyNumberFormat="1" applyFill="1" applyBorder="1"/>
    <xf numFmtId="4" fontId="10" fillId="0" borderId="5" xfId="0" applyNumberFormat="1" applyFont="1" applyFill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71" fontId="0" fillId="0" borderId="0" xfId="0" applyNumberFormat="1" applyFill="1"/>
    <xf numFmtId="4" fontId="2" fillId="0" borderId="2" xfId="0" applyNumberFormat="1" applyFont="1" applyFill="1" applyBorder="1"/>
    <xf numFmtId="4" fontId="0" fillId="0" borderId="2" xfId="0" applyNumberFormat="1" applyFont="1" applyFill="1" applyBorder="1"/>
    <xf numFmtId="0" fontId="0" fillId="0" borderId="0" xfId="0" applyFill="1"/>
    <xf numFmtId="43" fontId="10" fillId="0" borderId="0" xfId="0" applyNumberFormat="1" applyFont="1" applyFill="1"/>
    <xf numFmtId="172" fontId="0" fillId="0" borderId="0" xfId="2" applyNumberFormat="1" applyFont="1" applyFill="1"/>
    <xf numFmtId="173" fontId="0" fillId="0" borderId="0" xfId="2" applyNumberFormat="1" applyFont="1" applyFill="1"/>
    <xf numFmtId="43" fontId="10" fillId="0" borderId="0" xfId="2" applyNumberFormat="1" applyFont="1" applyFill="1"/>
    <xf numFmtId="171" fontId="25" fillId="0" borderId="0" xfId="0" applyNumberFormat="1" applyFont="1" applyFill="1"/>
    <xf numFmtId="0" fontId="24" fillId="0" borderId="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92"/>
  <sheetViews>
    <sheetView tabSelected="1" zoomScale="85" zoomScaleNormal="85" workbookViewId="0">
      <pane xSplit="3" ySplit="10" topLeftCell="BW11" activePane="bottomRight" state="frozen"/>
      <selection pane="topRight" activeCell="D1" sqref="D1"/>
      <selection pane="bottomLeft" activeCell="A11" sqref="A11"/>
      <selection pane="bottomRight" activeCell="CI14" sqref="CI14"/>
    </sheetView>
  </sheetViews>
  <sheetFormatPr defaultColWidth="9.140625" defaultRowHeight="15" x14ac:dyDescent="0.25"/>
  <cols>
    <col min="1" max="1" width="20.140625" style="10" hidden="1" customWidth="1"/>
    <col min="2" max="2" width="28.5703125" style="10" customWidth="1"/>
    <col min="3" max="3" width="19.85546875" style="10" bestFit="1" customWidth="1"/>
    <col min="4" max="11" width="11.42578125" style="10" customWidth="1"/>
    <col min="12" max="13" width="11.85546875" style="10" customWidth="1"/>
    <col min="14" max="16" width="12.42578125" style="10" customWidth="1"/>
    <col min="17" max="18" width="11.85546875" style="10" customWidth="1"/>
    <col min="19" max="19" width="11.5703125" style="10" customWidth="1"/>
    <col min="20" max="20" width="11.85546875" style="10" customWidth="1"/>
    <col min="21" max="21" width="12.5703125" style="10" customWidth="1"/>
    <col min="22" max="28" width="13.140625" style="10" customWidth="1"/>
    <col min="29" max="29" width="13.140625" style="45" customWidth="1"/>
    <col min="30" max="32" width="13.140625" style="10" customWidth="1"/>
    <col min="33" max="34" width="13.42578125" style="10" customWidth="1"/>
    <col min="35" max="35" width="12.5703125" style="10" customWidth="1"/>
    <col min="36" max="36" width="13.140625" style="10" customWidth="1"/>
    <col min="37" max="37" width="13.42578125" style="10" customWidth="1"/>
    <col min="38" max="39" width="13.140625" style="10" customWidth="1"/>
    <col min="40" max="40" width="13.42578125" style="10" customWidth="1"/>
    <col min="41" max="42" width="13.140625" style="10" customWidth="1"/>
    <col min="43" max="43" width="13.42578125" style="10" customWidth="1"/>
    <col min="44" max="44" width="14.85546875" style="68" customWidth="1"/>
    <col min="45" max="45" width="13.85546875" style="10" customWidth="1"/>
    <col min="46" max="47" width="14.42578125" style="10" customWidth="1"/>
    <col min="48" max="48" width="14.5703125" style="10" customWidth="1"/>
    <col min="49" max="52" width="14.42578125" style="10" customWidth="1"/>
    <col min="53" max="53" width="14.42578125" style="103" customWidth="1"/>
    <col min="54" max="54" width="14.42578125" style="10" customWidth="1"/>
    <col min="55" max="55" width="14" style="68" customWidth="1"/>
    <col min="56" max="56" width="11.5703125" style="10" customWidth="1"/>
    <col min="57" max="57" width="13.42578125" style="10" customWidth="1"/>
    <col min="58" max="58" width="12.5703125" style="10" customWidth="1"/>
    <col min="59" max="59" width="13.42578125" style="68" bestFit="1" customWidth="1"/>
    <col min="60" max="60" width="15.5703125" style="10" customWidth="1"/>
    <col min="61" max="61" width="13.42578125" style="10" customWidth="1"/>
    <col min="62" max="62" width="14.42578125" style="10" customWidth="1"/>
    <col min="63" max="63" width="13" style="10" customWidth="1"/>
    <col min="64" max="64" width="12.85546875" style="68" customWidth="1"/>
    <col min="65" max="65" width="13.42578125" style="10" customWidth="1"/>
    <col min="66" max="66" width="14.140625" style="68" customWidth="1"/>
    <col min="67" max="67" width="11.5703125" style="68" customWidth="1"/>
    <col min="68" max="68" width="11.5703125" style="10" bestFit="1" customWidth="1"/>
    <col min="69" max="70" width="14.42578125" style="10" customWidth="1"/>
    <col min="71" max="71" width="13.42578125" style="144" customWidth="1"/>
    <col min="72" max="72" width="14.42578125" style="144" customWidth="1"/>
    <col min="73" max="73" width="13.42578125" style="144" customWidth="1"/>
    <col min="74" max="74" width="13.85546875" style="144" bestFit="1" customWidth="1"/>
    <col min="75" max="75" width="12.5703125" style="68" bestFit="1" customWidth="1"/>
    <col min="76" max="76" width="12.5703125" style="144" bestFit="1" customWidth="1"/>
    <col min="77" max="77" width="12.85546875" style="144" bestFit="1" customWidth="1"/>
    <col min="78" max="78" width="12.5703125" style="144" bestFit="1" customWidth="1"/>
    <col min="79" max="79" width="12.5703125" style="146" bestFit="1" customWidth="1"/>
    <col min="80" max="80" width="12.85546875" style="144" bestFit="1" customWidth="1"/>
    <col min="81" max="81" width="16.42578125" style="144" customWidth="1"/>
    <col min="82" max="82" width="12.5703125" style="10" customWidth="1"/>
    <col min="83" max="83" width="12.85546875" style="144" bestFit="1" customWidth="1"/>
    <col min="84" max="85" width="13" style="144" customWidth="1"/>
    <col min="86" max="86" width="11.5703125" style="10" bestFit="1" customWidth="1"/>
    <col min="87" max="16384" width="9.140625" style="10"/>
  </cols>
  <sheetData>
    <row r="1" spans="1:85" ht="15.75" thickBot="1" x14ac:dyDescent="0.3"/>
    <row r="2" spans="1:85" x14ac:dyDescent="0.25">
      <c r="A2" s="11" t="s">
        <v>0</v>
      </c>
      <c r="B2" s="12" t="s">
        <v>1</v>
      </c>
      <c r="C2" s="13" t="s">
        <v>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85" x14ac:dyDescent="0.25">
      <c r="A3" s="15" t="s">
        <v>3</v>
      </c>
      <c r="B3" s="16" t="s">
        <v>4</v>
      </c>
      <c r="C3" s="17" t="s">
        <v>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L3" s="68"/>
    </row>
    <row r="4" spans="1:85" ht="15.75" thickBot="1" x14ac:dyDescent="0.3">
      <c r="A4" s="15" t="s">
        <v>6</v>
      </c>
      <c r="B4" s="14" t="s">
        <v>7</v>
      </c>
      <c r="C4" s="17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AL4" s="68"/>
      <c r="AM4" s="68"/>
    </row>
    <row r="5" spans="1:85" x14ac:dyDescent="0.25">
      <c r="A5" s="11" t="s">
        <v>9</v>
      </c>
      <c r="B5" s="18">
        <v>6</v>
      </c>
      <c r="C5" s="19" t="str">
        <f>"Scale = "&amp;IF(B5=0,"Unit",(IF(B5=3,"Thousand",(IF(B5=6,"Million",(IF(B5=9,"Billion")))))))</f>
        <v>Scale = Million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AJ5" s="68"/>
      <c r="AL5" s="68"/>
      <c r="AM5" s="68"/>
    </row>
    <row r="6" spans="1:85" x14ac:dyDescent="0.25">
      <c r="A6" s="15" t="s">
        <v>10</v>
      </c>
      <c r="B6" s="14" t="s">
        <v>11</v>
      </c>
      <c r="C6" s="21" t="str">
        <f>"Frequency = "&amp;IF(B6="A","Annual",IF(B6="Q", "Quarterly", "Monthly"))</f>
        <v>Frequency = Monthly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AL6" s="68"/>
      <c r="AM6" s="68"/>
    </row>
    <row r="7" spans="1:85" ht="15.75" customHeight="1" thickBot="1" x14ac:dyDescent="0.3">
      <c r="A7" s="22" t="s">
        <v>12</v>
      </c>
      <c r="B7" s="23" t="s">
        <v>13</v>
      </c>
      <c r="C7" s="24" t="s"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AJ7" s="69"/>
      <c r="AL7" s="68"/>
      <c r="AM7" s="68"/>
      <c r="BM7" s="141"/>
      <c r="BW7" s="103"/>
    </row>
    <row r="8" spans="1:85" ht="15.75" x14ac:dyDescent="0.25">
      <c r="AM8" s="68"/>
      <c r="CA8" s="149"/>
    </row>
    <row r="9" spans="1:85" ht="15.75" thickBot="1" x14ac:dyDescent="0.3">
      <c r="AA9" s="14"/>
      <c r="AB9" s="14"/>
      <c r="AD9" s="14"/>
      <c r="AE9" s="14"/>
      <c r="AR9" s="9"/>
      <c r="BK9" s="68"/>
      <c r="BM9" s="68"/>
      <c r="BN9" s="141"/>
    </row>
    <row r="10" spans="1:85" ht="15.75" thickBot="1" x14ac:dyDescent="0.3">
      <c r="A10" s="25" t="s">
        <v>15</v>
      </c>
      <c r="B10" s="26" t="s">
        <v>16</v>
      </c>
      <c r="C10" s="26" t="s">
        <v>17</v>
      </c>
      <c r="D10" s="54" t="s">
        <v>91</v>
      </c>
      <c r="E10" s="55" t="s">
        <v>92</v>
      </c>
      <c r="F10" s="55" t="s">
        <v>93</v>
      </c>
      <c r="G10" s="55" t="s">
        <v>94</v>
      </c>
      <c r="H10" s="55" t="s">
        <v>95</v>
      </c>
      <c r="I10" s="55" t="s">
        <v>96</v>
      </c>
      <c r="J10" s="55" t="s">
        <v>97</v>
      </c>
      <c r="K10" s="55" t="s">
        <v>98</v>
      </c>
      <c r="L10" s="55" t="s">
        <v>99</v>
      </c>
      <c r="M10" s="55" t="s">
        <v>101</v>
      </c>
      <c r="N10" s="55" t="s">
        <v>102</v>
      </c>
      <c r="O10" s="80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88" t="s">
        <v>125</v>
      </c>
      <c r="AT10" s="88" t="s">
        <v>126</v>
      </c>
      <c r="AU10" s="88" t="s">
        <v>128</v>
      </c>
      <c r="AV10" s="88" t="s">
        <v>129</v>
      </c>
      <c r="AW10" s="88" t="s">
        <v>130</v>
      </c>
      <c r="AX10" s="88" t="s">
        <v>131</v>
      </c>
      <c r="AY10" s="88" t="s">
        <v>132</v>
      </c>
      <c r="AZ10" s="88" t="s">
        <v>133</v>
      </c>
      <c r="BA10" s="88" t="s">
        <v>134</v>
      </c>
      <c r="BB10" s="88" t="s">
        <v>135</v>
      </c>
      <c r="BC10" s="88" t="s">
        <v>136</v>
      </c>
      <c r="BD10" s="88" t="s">
        <v>137</v>
      </c>
      <c r="BE10" s="88" t="s">
        <v>138</v>
      </c>
      <c r="BF10" s="88" t="s">
        <v>139</v>
      </c>
      <c r="BG10" s="88" t="s">
        <v>140</v>
      </c>
      <c r="BH10" s="82" t="s">
        <v>141</v>
      </c>
      <c r="BI10" s="82" t="s">
        <v>142</v>
      </c>
      <c r="BJ10" s="82" t="s">
        <v>143</v>
      </c>
      <c r="BK10" s="82" t="s">
        <v>144</v>
      </c>
      <c r="BL10" s="82" t="s">
        <v>145</v>
      </c>
      <c r="BM10" s="82" t="s">
        <v>146</v>
      </c>
      <c r="BN10" s="82" t="s">
        <v>147</v>
      </c>
      <c r="BO10" s="82" t="s">
        <v>148</v>
      </c>
      <c r="BP10" s="82" t="s">
        <v>149</v>
      </c>
      <c r="BQ10" s="82" t="s">
        <v>150</v>
      </c>
      <c r="BR10" s="82" t="s">
        <v>151</v>
      </c>
      <c r="BS10" s="82" t="s">
        <v>152</v>
      </c>
      <c r="BT10" s="82" t="s">
        <v>153</v>
      </c>
      <c r="BU10" s="82" t="s">
        <v>154</v>
      </c>
      <c r="BV10" s="82" t="s">
        <v>155</v>
      </c>
      <c r="BW10" s="82" t="s">
        <v>156</v>
      </c>
      <c r="BX10" s="82" t="s">
        <v>157</v>
      </c>
      <c r="BY10" s="82" t="s">
        <v>158</v>
      </c>
      <c r="BZ10" s="82" t="s">
        <v>159</v>
      </c>
      <c r="CA10" s="82" t="s">
        <v>160</v>
      </c>
      <c r="CB10" s="82" t="s">
        <v>161</v>
      </c>
      <c r="CC10" s="82" t="s">
        <v>162</v>
      </c>
      <c r="CD10" s="82" t="s">
        <v>163</v>
      </c>
      <c r="CE10" s="82" t="s">
        <v>164</v>
      </c>
      <c r="CF10" s="82" t="s">
        <v>165</v>
      </c>
      <c r="CG10" s="82" t="s">
        <v>166</v>
      </c>
    </row>
    <row r="11" spans="1:85" x14ac:dyDescent="0.25">
      <c r="A11" s="27" t="s">
        <v>66</v>
      </c>
      <c r="B11" s="28" t="s">
        <v>26</v>
      </c>
      <c r="C11" s="29" t="s">
        <v>42</v>
      </c>
      <c r="D11" s="56">
        <f>D12+D23</f>
        <v>2044999.0393699999</v>
      </c>
      <c r="E11" s="57">
        <f t="shared" ref="E11:O11" si="0">E12+E23</f>
        <v>2045740.43356</v>
      </c>
      <c r="F11" s="57">
        <f t="shared" si="0"/>
        <v>2027253.3304000001</v>
      </c>
      <c r="G11" s="57">
        <f t="shared" si="0"/>
        <v>2050110.1469599998</v>
      </c>
      <c r="H11" s="57">
        <f t="shared" si="0"/>
        <v>2073935.8466000003</v>
      </c>
      <c r="I11" s="57">
        <f t="shared" si="0"/>
        <v>2086726.8310200002</v>
      </c>
      <c r="J11" s="57">
        <f t="shared" si="0"/>
        <v>2090513.4261699999</v>
      </c>
      <c r="K11" s="57">
        <f t="shared" si="0"/>
        <v>2085757.5240000002</v>
      </c>
      <c r="L11" s="57">
        <f t="shared" si="0"/>
        <v>2102222.92</v>
      </c>
      <c r="M11" s="57">
        <f t="shared" si="0"/>
        <v>2106436.2229700005</v>
      </c>
      <c r="N11" s="57">
        <f t="shared" si="0"/>
        <v>2065378.73006</v>
      </c>
      <c r="O11" s="57">
        <f t="shared" si="0"/>
        <v>2068759.4533400002</v>
      </c>
      <c r="P11" s="71">
        <f t="shared" ref="P11:W11" si="1">P12+P23</f>
        <v>2077027.1697300002</v>
      </c>
      <c r="Q11" s="71">
        <f t="shared" si="1"/>
        <v>2102462.0389400003</v>
      </c>
      <c r="R11" s="71">
        <f t="shared" si="1"/>
        <v>2116703.0140999998</v>
      </c>
      <c r="S11" s="71">
        <f t="shared" si="1"/>
        <v>2113412.0392800001</v>
      </c>
      <c r="T11" s="71">
        <f t="shared" si="1"/>
        <v>2142892.9464500002</v>
      </c>
      <c r="U11" s="63">
        <f t="shared" si="1"/>
        <v>2144641.40496</v>
      </c>
      <c r="V11" s="63">
        <f t="shared" si="1"/>
        <v>2148476.7612000001</v>
      </c>
      <c r="W11" s="63">
        <f t="shared" si="1"/>
        <v>2150644.1934599997</v>
      </c>
      <c r="X11" s="63">
        <f t="shared" ref="X11:AD11" si="2">X12+X23</f>
        <v>2150063.4176000003</v>
      </c>
      <c r="Y11" s="63">
        <f t="shared" si="2"/>
        <v>2148129.3281099997</v>
      </c>
      <c r="Z11" s="63">
        <f t="shared" si="2"/>
        <v>2154474.2799230004</v>
      </c>
      <c r="AA11" s="63">
        <f t="shared" si="2"/>
        <v>2158846.3501072</v>
      </c>
      <c r="AB11" s="63">
        <f t="shared" si="2"/>
        <v>2107892.8371700002</v>
      </c>
      <c r="AC11" s="63">
        <f t="shared" si="2"/>
        <v>2073167.69154</v>
      </c>
      <c r="AD11" s="63">
        <f t="shared" si="2"/>
        <v>2032176.3786000004</v>
      </c>
      <c r="AE11" s="63">
        <f t="shared" ref="AE11:AF11" si="3">AE12+AE23</f>
        <v>2035960.1644699997</v>
      </c>
      <c r="AF11" s="63">
        <f t="shared" si="3"/>
        <v>2143857.4165600003</v>
      </c>
      <c r="AG11" s="63">
        <f t="shared" ref="AG11:AL11" si="4">AG12+AG23</f>
        <v>2075640.3509999998</v>
      </c>
      <c r="AH11" s="63">
        <f t="shared" si="4"/>
        <v>2049903.9361999999</v>
      </c>
      <c r="AI11" s="63">
        <f t="shared" si="4"/>
        <v>2037041.1337799998</v>
      </c>
      <c r="AJ11" s="63">
        <f t="shared" si="4"/>
        <v>2023129.8211199995</v>
      </c>
      <c r="AK11" s="63">
        <f t="shared" si="4"/>
        <v>2033659.9411599999</v>
      </c>
      <c r="AL11" s="63">
        <f t="shared" si="4"/>
        <v>2044415.6169999996</v>
      </c>
      <c r="AM11" s="63">
        <f t="shared" ref="AM11" si="5">AM12+AM23</f>
        <v>2028153.9279999998</v>
      </c>
      <c r="AN11" s="63">
        <v>2028300.5</v>
      </c>
      <c r="AO11" s="74">
        <v>2063116.9067500001</v>
      </c>
      <c r="AP11" s="75">
        <f>AP12+AP23</f>
        <v>2070741.0561200003</v>
      </c>
      <c r="AQ11" s="75">
        <f>AQ12+AQ23</f>
        <v>2079377.4871499999</v>
      </c>
      <c r="AR11" s="75">
        <v>2106974.0480999993</v>
      </c>
      <c r="AS11" s="84">
        <f t="shared" ref="AS11:AW11" si="6">AS12+AS23</f>
        <v>2080203.3887200002</v>
      </c>
      <c r="AT11" s="84">
        <f t="shared" si="6"/>
        <v>2019532.0836405098</v>
      </c>
      <c r="AU11" s="100">
        <f t="shared" si="6"/>
        <v>2017320.2291899999</v>
      </c>
      <c r="AV11" s="100">
        <f t="shared" si="6"/>
        <v>2021184.4500000002</v>
      </c>
      <c r="AW11" s="100">
        <f t="shared" si="6"/>
        <v>2104918.17</v>
      </c>
      <c r="AX11" s="100">
        <f t="shared" ref="AX11:BD11" si="7">AX12+AX23</f>
        <v>2029489.73</v>
      </c>
      <c r="AY11" s="100">
        <f t="shared" si="7"/>
        <v>2004658.29</v>
      </c>
      <c r="AZ11" s="114">
        <f t="shared" si="7"/>
        <v>2093470.88</v>
      </c>
      <c r="BA11" s="114">
        <f t="shared" si="7"/>
        <v>2078488.27</v>
      </c>
      <c r="BB11" s="114">
        <f t="shared" si="7"/>
        <v>2050179.5499999998</v>
      </c>
      <c r="BC11" s="114">
        <f t="shared" si="7"/>
        <v>2072276.2399999998</v>
      </c>
      <c r="BD11" s="75">
        <f t="shared" si="7"/>
        <v>2079002.17</v>
      </c>
      <c r="BE11" s="84">
        <f>BE12+BE23</f>
        <v>1984635.85</v>
      </c>
      <c r="BF11" s="100">
        <f t="shared" ref="BF11:BG11" si="8">BF12+BF23</f>
        <v>2036951.2999999998</v>
      </c>
      <c r="BG11" s="100">
        <f t="shared" si="8"/>
        <v>1998667.9100000001</v>
      </c>
      <c r="BH11" s="136">
        <f t="shared" ref="BH11" si="9">BH12+BH23</f>
        <v>1970612.1099999999</v>
      </c>
      <c r="BI11" s="136">
        <f t="shared" ref="BI11:BO11" si="10">BI12+BI23</f>
        <v>2044379.21</v>
      </c>
      <c r="BJ11" s="136">
        <f t="shared" si="10"/>
        <v>2005048.3399999999</v>
      </c>
      <c r="BK11" s="136">
        <f t="shared" si="10"/>
        <v>2008086.3</v>
      </c>
      <c r="BL11" s="136">
        <f t="shared" si="10"/>
        <v>2082554.42</v>
      </c>
      <c r="BM11" s="136">
        <f t="shared" si="10"/>
        <v>2089631.6499532</v>
      </c>
      <c r="BN11" s="136">
        <f t="shared" si="10"/>
        <v>2054365.25</v>
      </c>
      <c r="BO11" s="136">
        <f t="shared" si="10"/>
        <v>2128438.3800000004</v>
      </c>
      <c r="BP11" s="136">
        <f t="shared" ref="BP11:BU11" si="11">BP12+BP23</f>
        <v>2136734.28192</v>
      </c>
      <c r="BQ11" s="136">
        <f t="shared" si="11"/>
        <v>2079464.21</v>
      </c>
      <c r="BR11" s="136">
        <f t="shared" si="11"/>
        <v>2081487.0300000003</v>
      </c>
      <c r="BS11" s="136">
        <f t="shared" si="11"/>
        <v>2124891.46</v>
      </c>
      <c r="BT11" s="136">
        <f t="shared" si="11"/>
        <v>2085985.19</v>
      </c>
      <c r="BU11" s="136">
        <f t="shared" si="11"/>
        <v>2142626.7799999998</v>
      </c>
      <c r="BV11" s="136">
        <f t="shared" ref="BV11:BW11" si="12">BV12+BV23</f>
        <v>2170441.2400000002</v>
      </c>
      <c r="BW11" s="136">
        <f t="shared" si="12"/>
        <v>2152560.5304399999</v>
      </c>
      <c r="BX11" s="136">
        <f t="shared" ref="BX11" si="13">BX12+BX23</f>
        <v>2234350.04</v>
      </c>
      <c r="BY11" s="136">
        <f t="shared" ref="BY11:CD11" si="14">BY12+BY23</f>
        <v>2169796.2000000002</v>
      </c>
      <c r="BZ11" s="136">
        <f t="shared" si="14"/>
        <v>2162476.14</v>
      </c>
      <c r="CA11" s="136">
        <f t="shared" si="14"/>
        <v>2221653.29</v>
      </c>
      <c r="CB11" s="136">
        <f t="shared" si="14"/>
        <v>2201202.38</v>
      </c>
      <c r="CC11" s="136">
        <f t="shared" si="14"/>
        <v>2153205.2011099998</v>
      </c>
      <c r="CD11" s="136">
        <f t="shared" si="14"/>
        <v>2233288.2218707302</v>
      </c>
      <c r="CE11" s="136">
        <f t="shared" ref="CE11:CF11" si="15">CE12+CE23</f>
        <v>2249781.88</v>
      </c>
      <c r="CF11" s="136">
        <f t="shared" si="15"/>
        <v>2245360.6643200004</v>
      </c>
      <c r="CG11" s="136">
        <f t="shared" ref="CG11" si="16">CG12+CG23</f>
        <v>2224940.9059600001</v>
      </c>
    </row>
    <row r="12" spans="1:85" x14ac:dyDescent="0.25">
      <c r="A12" s="27" t="s">
        <v>67</v>
      </c>
      <c r="B12" s="30" t="s">
        <v>27</v>
      </c>
      <c r="C12" s="29" t="s">
        <v>43</v>
      </c>
      <c r="D12" s="5">
        <f t="shared" ref="D12:O12" si="17">D13+D18</f>
        <v>1056208.28</v>
      </c>
      <c r="E12" s="3">
        <f t="shared" si="17"/>
        <v>1056703.58</v>
      </c>
      <c r="F12" s="3">
        <f t="shared" si="17"/>
        <v>1058106.01</v>
      </c>
      <c r="G12" s="3">
        <f t="shared" si="17"/>
        <v>857433.44</v>
      </c>
      <c r="H12" s="3">
        <f t="shared" si="17"/>
        <v>857433.44</v>
      </c>
      <c r="I12" s="3">
        <f t="shared" si="17"/>
        <v>858861.89999999991</v>
      </c>
      <c r="J12" s="3">
        <f t="shared" si="17"/>
        <v>859587.4800000001</v>
      </c>
      <c r="K12" s="3">
        <f t="shared" si="17"/>
        <v>859812.62000000011</v>
      </c>
      <c r="L12" s="3">
        <f t="shared" si="17"/>
        <v>860262.61000000022</v>
      </c>
      <c r="M12" s="3">
        <f t="shared" si="17"/>
        <v>860972.88000000012</v>
      </c>
      <c r="N12" s="3">
        <f t="shared" si="17"/>
        <v>816113.42</v>
      </c>
      <c r="O12" s="3">
        <f t="shared" si="17"/>
        <v>815948.48</v>
      </c>
      <c r="P12" s="71">
        <f t="shared" ref="P12:W12" si="18">P13+P18</f>
        <v>816508.01000000013</v>
      </c>
      <c r="Q12" s="71">
        <f t="shared" si="18"/>
        <v>823845.71</v>
      </c>
      <c r="R12" s="71">
        <f t="shared" si="18"/>
        <v>824482.28</v>
      </c>
      <c r="S12" s="71">
        <f t="shared" si="18"/>
        <v>824998.94000000006</v>
      </c>
      <c r="T12" s="71">
        <f t="shared" si="18"/>
        <v>833550.54</v>
      </c>
      <c r="U12" s="63">
        <f t="shared" si="18"/>
        <v>824431.14</v>
      </c>
      <c r="V12" s="63">
        <f t="shared" si="18"/>
        <v>825717.14</v>
      </c>
      <c r="W12" s="63">
        <f t="shared" si="18"/>
        <v>834367.95</v>
      </c>
      <c r="X12" s="63">
        <f t="shared" ref="X12:Y12" si="19">X13+X18</f>
        <v>834319.96</v>
      </c>
      <c r="Y12" s="63">
        <f t="shared" si="19"/>
        <v>834486.79999999981</v>
      </c>
      <c r="Z12" s="63">
        <f t="shared" ref="Z12:AA12" si="20">Z13+Z18</f>
        <v>848067.96</v>
      </c>
      <c r="AA12" s="63">
        <f t="shared" si="20"/>
        <v>848505.8899999999</v>
      </c>
      <c r="AB12" s="63">
        <f t="shared" ref="AB12:AC12" si="21">AB13+AB18</f>
        <v>862446.07000000007</v>
      </c>
      <c r="AC12" s="63">
        <f t="shared" si="21"/>
        <v>820164.40000000014</v>
      </c>
      <c r="AD12" s="63">
        <f t="shared" ref="AD12:AI12" si="22">AD13+AD18</f>
        <v>819970.80000000016</v>
      </c>
      <c r="AE12" s="63">
        <f t="shared" si="22"/>
        <v>820252.10399999993</v>
      </c>
      <c r="AF12" s="63">
        <f t="shared" si="22"/>
        <v>821902.89500000002</v>
      </c>
      <c r="AG12" s="63">
        <f t="shared" si="22"/>
        <v>754052.92999999993</v>
      </c>
      <c r="AH12" s="63">
        <f t="shared" si="22"/>
        <v>758388.41999999993</v>
      </c>
      <c r="AI12" s="63">
        <f t="shared" si="22"/>
        <v>759939.54999999993</v>
      </c>
      <c r="AJ12" s="63">
        <f>AJ13+AJ18</f>
        <v>760275.77999999991</v>
      </c>
      <c r="AK12" s="63">
        <f>AK13+AK18</f>
        <v>765675.40999999992</v>
      </c>
      <c r="AL12" s="63">
        <f>AL13+AL18</f>
        <v>751918.45000000007</v>
      </c>
      <c r="AM12" s="63">
        <f>AM13+AM18</f>
        <v>756864.49</v>
      </c>
      <c r="AN12" s="63">
        <v>764136.44</v>
      </c>
      <c r="AO12" s="74">
        <v>770444.71000000008</v>
      </c>
      <c r="AP12" s="75">
        <f>AP13+AP18</f>
        <v>774648.93</v>
      </c>
      <c r="AQ12" s="75">
        <f>AQ13+AQ18</f>
        <v>734520.33000000007</v>
      </c>
      <c r="AR12" s="75">
        <v>741153.45</v>
      </c>
      <c r="AS12" s="84">
        <f t="shared" ref="AS12:AW12" si="23">AS13+AS18</f>
        <v>739930.35</v>
      </c>
      <c r="AT12" s="84">
        <f t="shared" si="23"/>
        <v>744320.76364051003</v>
      </c>
      <c r="AU12" s="84">
        <f t="shared" si="23"/>
        <v>752048.66000000015</v>
      </c>
      <c r="AV12" s="84">
        <f t="shared" si="23"/>
        <v>752120.94000000006</v>
      </c>
      <c r="AW12" s="84">
        <f t="shared" si="23"/>
        <v>756040.60000000009</v>
      </c>
      <c r="AX12" s="84">
        <f t="shared" ref="AX12:BD12" si="24">AX13+AX18</f>
        <v>755710.37000000011</v>
      </c>
      <c r="AY12" s="84">
        <f t="shared" si="24"/>
        <v>755977.66999999993</v>
      </c>
      <c r="AZ12" s="75">
        <f t="shared" si="24"/>
        <v>761313.31</v>
      </c>
      <c r="BA12" s="75">
        <f t="shared" si="24"/>
        <v>768920.34000000008</v>
      </c>
      <c r="BB12" s="75">
        <f t="shared" si="24"/>
        <v>769236.91999999993</v>
      </c>
      <c r="BC12" s="75">
        <f t="shared" si="24"/>
        <v>742119.77999999991</v>
      </c>
      <c r="BD12" s="75">
        <f t="shared" si="24"/>
        <v>742541.64999999991</v>
      </c>
      <c r="BE12" s="84">
        <f t="shared" ref="BE12:BF12" si="25">BE13+BE18</f>
        <v>734643.94000000006</v>
      </c>
      <c r="BF12" s="84">
        <f t="shared" si="25"/>
        <v>742841.34</v>
      </c>
      <c r="BG12" s="84">
        <f t="shared" ref="BG12:BH12" si="26">BG13+BG18</f>
        <v>743306.73</v>
      </c>
      <c r="BH12" s="122">
        <f t="shared" si="26"/>
        <v>743902.1</v>
      </c>
      <c r="BI12" s="122">
        <f t="shared" ref="BI12" si="27">BI13+BI18</f>
        <v>744502.9</v>
      </c>
      <c r="BJ12" s="122">
        <f t="shared" ref="BJ12:BO12" si="28">BJ13+BJ18</f>
        <v>744506.94000000006</v>
      </c>
      <c r="BK12" s="122">
        <f t="shared" si="28"/>
        <v>761804.51</v>
      </c>
      <c r="BL12" s="122">
        <f t="shared" si="28"/>
        <v>764525.45000000007</v>
      </c>
      <c r="BM12" s="122">
        <f t="shared" si="28"/>
        <v>769573.68</v>
      </c>
      <c r="BN12" s="122">
        <f t="shared" si="28"/>
        <v>769693.41</v>
      </c>
      <c r="BO12" s="122">
        <f t="shared" si="28"/>
        <v>776579.46000000008</v>
      </c>
      <c r="BP12" s="122">
        <f t="shared" ref="BP12:BQ12" si="29">BP13+BP18</f>
        <v>777197.41</v>
      </c>
      <c r="BQ12" s="122">
        <f t="shared" si="29"/>
        <v>785443.7</v>
      </c>
      <c r="BR12" s="122">
        <f t="shared" ref="BR12:BS12" si="30">BR13+BR18</f>
        <v>775639.09</v>
      </c>
      <c r="BS12" s="122">
        <f t="shared" si="30"/>
        <v>775983.23</v>
      </c>
      <c r="BT12" s="122">
        <f t="shared" ref="BT12:BU12" si="31">BT13+BT18</f>
        <v>776483.16</v>
      </c>
      <c r="BU12" s="122">
        <f t="shared" si="31"/>
        <v>777109.83</v>
      </c>
      <c r="BV12" s="122">
        <f t="shared" ref="BV12:BW12" si="32">BV13+BV18</f>
        <v>787038.18</v>
      </c>
      <c r="BW12" s="122">
        <f t="shared" si="32"/>
        <v>795225.02</v>
      </c>
      <c r="BX12" s="122">
        <f t="shared" ref="BX12:BY12" si="33">BX13+BX18</f>
        <v>798667.18</v>
      </c>
      <c r="BY12" s="122">
        <f t="shared" si="33"/>
        <v>782623.05</v>
      </c>
      <c r="BZ12" s="122">
        <f t="shared" ref="BZ12:CA12" si="34">BZ13+BZ18</f>
        <v>782977.70000000007</v>
      </c>
      <c r="CA12" s="122">
        <f t="shared" si="34"/>
        <v>793771.25</v>
      </c>
      <c r="CB12" s="122">
        <f t="shared" ref="CB12:CC12" si="35">CB13+CB18</f>
        <v>799592.55999999994</v>
      </c>
      <c r="CC12" s="122">
        <f t="shared" si="35"/>
        <v>800458.93</v>
      </c>
      <c r="CD12" s="122">
        <f>CD13+CD18</f>
        <v>806536.14354073012</v>
      </c>
      <c r="CE12" s="122">
        <f>CE13+CE18</f>
        <v>817720.55</v>
      </c>
      <c r="CF12" s="122">
        <f>CF13+CF18</f>
        <v>824074.03</v>
      </c>
      <c r="CG12" s="122">
        <f>CG13+CG18</f>
        <v>824540.93</v>
      </c>
    </row>
    <row r="13" spans="1:85" ht="23.1" customHeight="1" x14ac:dyDescent="0.25">
      <c r="A13" s="27" t="s">
        <v>68</v>
      </c>
      <c r="B13" s="1" t="s">
        <v>28</v>
      </c>
      <c r="C13" s="29" t="s">
        <v>45</v>
      </c>
      <c r="D13" s="5">
        <f>SUM(D14:D17)</f>
        <v>67094.789999999994</v>
      </c>
      <c r="E13" s="3">
        <f t="shared" ref="E13:AF13" si="36">SUM(E14:E17)</f>
        <v>66381.37</v>
      </c>
      <c r="F13" s="3">
        <f t="shared" si="36"/>
        <v>66384.69</v>
      </c>
      <c r="G13" s="3">
        <f t="shared" si="36"/>
        <v>64884.39</v>
      </c>
      <c r="H13" s="3">
        <f t="shared" si="36"/>
        <v>64884.39</v>
      </c>
      <c r="I13" s="3">
        <f t="shared" si="36"/>
        <v>70917.06</v>
      </c>
      <c r="J13" s="3">
        <f t="shared" si="36"/>
        <v>70959.520000000004</v>
      </c>
      <c r="K13" s="3">
        <f t="shared" si="36"/>
        <v>70964.850000000006</v>
      </c>
      <c r="L13" s="3">
        <f t="shared" si="36"/>
        <v>70991.17</v>
      </c>
      <c r="M13" s="3">
        <f t="shared" si="36"/>
        <v>71043.05</v>
      </c>
      <c r="N13" s="3">
        <f t="shared" si="36"/>
        <v>10175.209999999999</v>
      </c>
      <c r="O13" s="3">
        <f t="shared" si="36"/>
        <v>10184.83</v>
      </c>
      <c r="P13" s="3">
        <f t="shared" si="36"/>
        <v>10241.15</v>
      </c>
      <c r="Q13" s="3">
        <f t="shared" si="36"/>
        <v>82954.37000000001</v>
      </c>
      <c r="R13" s="3">
        <f t="shared" si="36"/>
        <v>83003.62000000001</v>
      </c>
      <c r="S13" s="3">
        <f t="shared" si="36"/>
        <v>83012.47</v>
      </c>
      <c r="T13" s="3">
        <f t="shared" si="36"/>
        <v>78152.850000000006</v>
      </c>
      <c r="U13" s="3">
        <f t="shared" si="36"/>
        <v>68491.26999999999</v>
      </c>
      <c r="V13" s="3">
        <f t="shared" si="36"/>
        <v>69012.87</v>
      </c>
      <c r="W13" s="3">
        <f t="shared" si="36"/>
        <v>73366.84</v>
      </c>
      <c r="X13" s="3">
        <f t="shared" si="36"/>
        <v>73379.31</v>
      </c>
      <c r="Y13" s="3">
        <f t="shared" si="36"/>
        <v>73379.31</v>
      </c>
      <c r="Z13" s="3">
        <f t="shared" si="36"/>
        <v>81098.820000000007</v>
      </c>
      <c r="AA13" s="3">
        <f t="shared" si="36"/>
        <v>81098.820000000007</v>
      </c>
      <c r="AB13" s="3">
        <f t="shared" si="36"/>
        <v>81698.820000000007</v>
      </c>
      <c r="AC13" s="3">
        <f t="shared" si="36"/>
        <v>17810.920000000002</v>
      </c>
      <c r="AD13" s="3">
        <f t="shared" si="36"/>
        <v>18210.920000000002</v>
      </c>
      <c r="AE13" s="3">
        <f t="shared" si="36"/>
        <v>76849.210000000006</v>
      </c>
      <c r="AF13" s="3">
        <f t="shared" si="36"/>
        <v>77329.16</v>
      </c>
      <c r="AG13" s="63">
        <f t="shared" ref="AG13:AL13" si="37">SUM(AG14:AG17)</f>
        <v>79454.16</v>
      </c>
      <c r="AH13" s="63">
        <f t="shared" si="37"/>
        <v>79454.16</v>
      </c>
      <c r="AI13" s="63">
        <f t="shared" si="37"/>
        <v>75665.58</v>
      </c>
      <c r="AJ13" s="63">
        <f t="shared" si="37"/>
        <v>75664.09</v>
      </c>
      <c r="AK13" s="63">
        <f t="shared" si="37"/>
        <v>75664.09</v>
      </c>
      <c r="AL13" s="63">
        <f t="shared" si="37"/>
        <v>68294.73</v>
      </c>
      <c r="AM13" s="63">
        <f t="shared" ref="AM13" si="38">SUM(AM14:AM17)</f>
        <v>68211.83</v>
      </c>
      <c r="AN13" s="63">
        <v>68411.05</v>
      </c>
      <c r="AO13" s="74">
        <v>68711.05</v>
      </c>
      <c r="AP13" s="75">
        <f>SUM(AP14:AP17)</f>
        <v>68909.48</v>
      </c>
      <c r="AQ13" s="75">
        <f>SUM(AQ14:AQ17)</f>
        <v>51093.88</v>
      </c>
      <c r="AR13" s="75">
        <v>51293.079999999994</v>
      </c>
      <c r="AS13" s="84">
        <f t="shared" ref="AS13:AX13" si="39">SUM(AS14:AS17)</f>
        <v>57968.590000000004</v>
      </c>
      <c r="AT13" s="84">
        <f t="shared" si="39"/>
        <v>58066.99</v>
      </c>
      <c r="AU13" s="84">
        <f t="shared" si="39"/>
        <v>58164.91</v>
      </c>
      <c r="AV13" s="84">
        <f t="shared" si="39"/>
        <v>57920.100000000006</v>
      </c>
      <c r="AW13" s="84">
        <f t="shared" si="39"/>
        <v>58620.100000000006</v>
      </c>
      <c r="AX13" s="84">
        <f t="shared" si="39"/>
        <v>58499.060000000005</v>
      </c>
      <c r="AY13" s="84">
        <f t="shared" ref="AY13:BF13" si="40">SUM(AY14:AY17)</f>
        <v>58741.19</v>
      </c>
      <c r="AZ13" s="75">
        <f t="shared" si="40"/>
        <v>58741.19</v>
      </c>
      <c r="BA13" s="75">
        <f t="shared" si="40"/>
        <v>58841.19</v>
      </c>
      <c r="BB13" s="75">
        <f t="shared" si="40"/>
        <v>58841.19</v>
      </c>
      <c r="BC13" s="75">
        <f t="shared" si="40"/>
        <v>18417.7</v>
      </c>
      <c r="BD13" s="75">
        <f t="shared" si="40"/>
        <v>18517.7</v>
      </c>
      <c r="BE13" s="84">
        <f t="shared" si="40"/>
        <v>10102</v>
      </c>
      <c r="BF13" s="84">
        <f t="shared" si="40"/>
        <v>99699.12</v>
      </c>
      <c r="BG13" s="84">
        <f t="shared" ref="BG13:BH13" si="41">SUM(BG14:BG17)</f>
        <v>99799.12</v>
      </c>
      <c r="BH13" s="122">
        <f t="shared" si="41"/>
        <v>99799.12</v>
      </c>
      <c r="BI13" s="122">
        <f t="shared" ref="BI13:BJ13" si="42">SUM(BI14:BI17)</f>
        <v>99799.12</v>
      </c>
      <c r="BJ13" s="122">
        <f t="shared" si="42"/>
        <v>99797.119999999995</v>
      </c>
      <c r="BK13" s="122">
        <f t="shared" ref="BK13:BL13" si="43">SUM(BK14:BK17)</f>
        <v>99797.119999999995</v>
      </c>
      <c r="BL13" s="122">
        <f t="shared" si="43"/>
        <v>99797.119999999995</v>
      </c>
      <c r="BM13" s="122">
        <f t="shared" ref="BM13" si="44">SUM(BM14:BM17)</f>
        <v>126292.12</v>
      </c>
      <c r="BN13" s="122">
        <f t="shared" ref="BN13:BO13" si="45">SUM(BN14:BN17)</f>
        <v>126292.12</v>
      </c>
      <c r="BO13" s="122">
        <f t="shared" si="45"/>
        <v>126292.12</v>
      </c>
      <c r="BP13" s="122">
        <f t="shared" ref="BP13:BQ13" si="46">SUM(BP14:BP17)</f>
        <v>126292.12</v>
      </c>
      <c r="BQ13" s="122">
        <f t="shared" si="46"/>
        <v>126342.33</v>
      </c>
      <c r="BR13" s="122">
        <f t="shared" ref="BR13:BS13" si="47">SUM(BR14:BR17)</f>
        <v>36845.21</v>
      </c>
      <c r="BS13" s="122">
        <f t="shared" si="47"/>
        <v>36845.21</v>
      </c>
      <c r="BT13" s="122">
        <f t="shared" ref="BT13:BU13" si="48">SUM(BT14:BT17)</f>
        <v>36845.21</v>
      </c>
      <c r="BU13" s="122">
        <f t="shared" si="48"/>
        <v>36845.21</v>
      </c>
      <c r="BV13" s="122">
        <f t="shared" ref="BV13:BW13" si="49">SUM(BV14:BV17)</f>
        <v>52559.47</v>
      </c>
      <c r="BW13" s="122">
        <f t="shared" si="49"/>
        <v>52509.19</v>
      </c>
      <c r="BX13" s="122">
        <f t="shared" ref="BX13:BY13" si="50">SUM(BX14:BX17)</f>
        <v>56509.22</v>
      </c>
      <c r="BY13" s="122">
        <f t="shared" si="50"/>
        <v>30014.240000000002</v>
      </c>
      <c r="BZ13" s="122">
        <f t="shared" ref="BZ13:CA13" si="51">SUM(BZ14:BZ17)</f>
        <v>30014.26</v>
      </c>
      <c r="CA13" s="122">
        <f t="shared" si="51"/>
        <v>30014.32</v>
      </c>
      <c r="CB13" s="122">
        <f t="shared" ref="CB13:CC13" si="52">SUM(CB14:CB17)</f>
        <v>30016.44</v>
      </c>
      <c r="CC13" s="122">
        <f t="shared" si="52"/>
        <v>30016.52</v>
      </c>
      <c r="CD13" s="122">
        <f t="shared" ref="CD13:CE13" si="53">SUM(CD14:CD17)</f>
        <v>30016.52</v>
      </c>
      <c r="CE13" s="122">
        <f t="shared" si="53"/>
        <v>30016.74</v>
      </c>
      <c r="CF13" s="122">
        <f t="shared" ref="CF13:CG13" si="54">SUM(CF14:CF17)</f>
        <v>30016.78</v>
      </c>
      <c r="CG13" s="122">
        <f t="shared" si="54"/>
        <v>72905.14</v>
      </c>
    </row>
    <row r="14" spans="1:85" x14ac:dyDescent="0.25">
      <c r="A14" s="27" t="s">
        <v>69</v>
      </c>
      <c r="B14" s="31" t="s">
        <v>29</v>
      </c>
      <c r="C14" s="29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61">
        <v>3.37</v>
      </c>
      <c r="Q14" s="61">
        <v>72602.27</v>
      </c>
      <c r="R14" s="61">
        <v>72602.27</v>
      </c>
      <c r="S14" s="61">
        <v>72602.27</v>
      </c>
      <c r="T14" s="61">
        <v>67691.27</v>
      </c>
      <c r="U14" s="62">
        <v>64491.27</v>
      </c>
      <c r="V14" s="62">
        <v>64491.27</v>
      </c>
      <c r="W14" s="62">
        <v>68491.27</v>
      </c>
      <c r="X14" s="62">
        <v>68491.27</v>
      </c>
      <c r="Y14" s="62">
        <v>68491.27</v>
      </c>
      <c r="Z14" s="43">
        <v>75978.77</v>
      </c>
      <c r="AA14" s="62">
        <v>75978.77</v>
      </c>
      <c r="AB14" s="62">
        <v>75978.77</v>
      </c>
      <c r="AC14" s="62">
        <v>11490.87</v>
      </c>
      <c r="AD14" s="62">
        <v>11490.87</v>
      </c>
      <c r="AE14" s="62">
        <v>69929.16</v>
      </c>
      <c r="AF14" s="62">
        <v>69929.16</v>
      </c>
      <c r="AG14" s="62">
        <v>69929.16</v>
      </c>
      <c r="AH14" s="62">
        <v>69929.16</v>
      </c>
      <c r="AI14" s="62">
        <v>65929.16</v>
      </c>
      <c r="AJ14" s="62">
        <v>65929.16</v>
      </c>
      <c r="AK14" s="62">
        <v>65929.16</v>
      </c>
      <c r="AL14" s="62">
        <v>58561.33</v>
      </c>
      <c r="AM14" s="62">
        <v>58561.33</v>
      </c>
      <c r="AN14" s="62">
        <v>58561.33</v>
      </c>
      <c r="AO14" s="33">
        <v>58561.33</v>
      </c>
      <c r="AP14" s="62">
        <v>58561.33</v>
      </c>
      <c r="AQ14" s="78">
        <v>40646.519999999997</v>
      </c>
      <c r="AR14" s="78">
        <v>40646.519999999997</v>
      </c>
      <c r="AS14" s="85">
        <v>49062.22</v>
      </c>
      <c r="AT14" s="85">
        <v>49062.22</v>
      </c>
      <c r="AU14" s="85">
        <v>49062.22</v>
      </c>
      <c r="AV14" s="85">
        <v>49062.22</v>
      </c>
      <c r="AW14" s="85">
        <v>49062.22</v>
      </c>
      <c r="AX14" s="85">
        <v>48941.19</v>
      </c>
      <c r="AY14" s="85">
        <v>48941.19</v>
      </c>
      <c r="AZ14" s="53">
        <v>48941.19</v>
      </c>
      <c r="BA14" s="53">
        <v>48941.19</v>
      </c>
      <c r="BB14" s="53">
        <v>48941.19</v>
      </c>
      <c r="BC14" s="53">
        <v>8417.7000000000007</v>
      </c>
      <c r="BD14" s="53">
        <v>8417.7000000000007</v>
      </c>
      <c r="BE14" s="8">
        <v>2</v>
      </c>
      <c r="BF14" s="8">
        <v>89499.12</v>
      </c>
      <c r="BG14" s="8">
        <v>89499.12</v>
      </c>
      <c r="BH14" s="119">
        <v>89499.12</v>
      </c>
      <c r="BI14" s="119">
        <v>89499.12</v>
      </c>
      <c r="BJ14" s="119">
        <v>89497.12</v>
      </c>
      <c r="BK14" s="119">
        <v>89497.12</v>
      </c>
      <c r="BL14" s="119">
        <v>89497.12</v>
      </c>
      <c r="BM14" s="119">
        <v>115992.12</v>
      </c>
      <c r="BN14" s="119">
        <v>115992.12</v>
      </c>
      <c r="BO14" s="119">
        <v>115992.12</v>
      </c>
      <c r="BP14" s="119">
        <v>115992.12</v>
      </c>
      <c r="BQ14" s="119">
        <v>115992.12</v>
      </c>
      <c r="BR14" s="119">
        <v>26495</v>
      </c>
      <c r="BS14" s="119">
        <v>26495</v>
      </c>
      <c r="BT14" s="119">
        <v>26495</v>
      </c>
      <c r="BU14" s="119">
        <v>26495</v>
      </c>
      <c r="BV14" s="119">
        <v>42209.26</v>
      </c>
      <c r="BW14" s="119">
        <v>42209.19</v>
      </c>
      <c r="BX14" s="119">
        <v>46209.22</v>
      </c>
      <c r="BY14" s="119">
        <v>19714.240000000002</v>
      </c>
      <c r="BZ14" s="119">
        <v>19714.259999999998</v>
      </c>
      <c r="CA14" s="119">
        <v>19714.32</v>
      </c>
      <c r="CB14" s="119">
        <v>19716.439999999999</v>
      </c>
      <c r="CC14" s="119">
        <v>19716.52</v>
      </c>
      <c r="CD14" s="119">
        <v>19716.52</v>
      </c>
      <c r="CE14" s="119">
        <v>19716.740000000002</v>
      </c>
      <c r="CF14" s="119">
        <v>19716.78</v>
      </c>
      <c r="CG14" s="119">
        <v>62605.14</v>
      </c>
    </row>
    <row r="15" spans="1:85" x14ac:dyDescent="0.25">
      <c r="A15" s="27" t="s">
        <v>70</v>
      </c>
      <c r="B15" s="31" t="s">
        <v>30</v>
      </c>
      <c r="C15" s="29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61">
        <v>6237.78</v>
      </c>
      <c r="Q15" s="61">
        <v>6352.1</v>
      </c>
      <c r="R15" s="61">
        <v>6401.35</v>
      </c>
      <c r="S15" s="61">
        <v>6410.2</v>
      </c>
      <c r="T15" s="61">
        <v>6461.58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Q15" s="73">
        <v>0</v>
      </c>
      <c r="AR15" s="73">
        <v>0</v>
      </c>
      <c r="AS15" s="86">
        <v>0</v>
      </c>
      <c r="AT15" s="86">
        <v>0</v>
      </c>
      <c r="AU15" s="86">
        <v>0</v>
      </c>
      <c r="AV15" s="86">
        <v>0</v>
      </c>
      <c r="AW15" s="86">
        <v>0</v>
      </c>
      <c r="AX15" s="85">
        <v>0</v>
      </c>
      <c r="AY15" s="85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8">
        <v>0</v>
      </c>
      <c r="BF15" s="8">
        <v>0</v>
      </c>
      <c r="BG15" s="8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</row>
    <row r="16" spans="1:85" x14ac:dyDescent="0.25">
      <c r="A16" s="27" t="s">
        <v>71</v>
      </c>
      <c r="B16" s="31" t="s">
        <v>31</v>
      </c>
      <c r="C16" s="29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61">
        <v>4000</v>
      </c>
      <c r="Q16" s="61">
        <v>4000</v>
      </c>
      <c r="R16" s="61">
        <v>4000</v>
      </c>
      <c r="S16" s="61">
        <v>4000</v>
      </c>
      <c r="T16" s="61">
        <v>4000</v>
      </c>
      <c r="U16" s="62">
        <v>4000</v>
      </c>
      <c r="V16" s="62">
        <v>4521.6000000000004</v>
      </c>
      <c r="W16" s="62">
        <v>4875.57</v>
      </c>
      <c r="X16" s="62">
        <v>4888.04</v>
      </c>
      <c r="Y16" s="62">
        <v>4888.04</v>
      </c>
      <c r="Z16" s="43">
        <v>5120.05</v>
      </c>
      <c r="AA16" s="62">
        <v>5120.05</v>
      </c>
      <c r="AB16" s="62">
        <v>5720.05</v>
      </c>
      <c r="AC16" s="62">
        <v>6320.05</v>
      </c>
      <c r="AD16" s="62">
        <v>6720.05</v>
      </c>
      <c r="AE16" s="62">
        <v>6920.05</v>
      </c>
      <c r="AF16" s="62">
        <v>7400</v>
      </c>
      <c r="AG16" s="62">
        <v>7600</v>
      </c>
      <c r="AH16" s="62">
        <v>7600</v>
      </c>
      <c r="AI16" s="62">
        <v>7800</v>
      </c>
      <c r="AJ16" s="62">
        <v>7800</v>
      </c>
      <c r="AK16" s="62">
        <v>7800</v>
      </c>
      <c r="AL16" s="62">
        <v>7800</v>
      </c>
      <c r="AM16" s="62">
        <v>7800</v>
      </c>
      <c r="AN16" s="62">
        <v>8000</v>
      </c>
      <c r="AO16" s="33">
        <v>8300</v>
      </c>
      <c r="AP16" s="62">
        <v>8500</v>
      </c>
      <c r="AQ16" s="78">
        <v>8600</v>
      </c>
      <c r="AR16" s="78">
        <v>8800</v>
      </c>
      <c r="AS16" s="85">
        <v>8900</v>
      </c>
      <c r="AT16" s="85">
        <v>9000</v>
      </c>
      <c r="AU16" s="85">
        <v>9100</v>
      </c>
      <c r="AV16" s="85">
        <v>8855.19</v>
      </c>
      <c r="AW16" s="85">
        <v>9555.19</v>
      </c>
      <c r="AX16" s="85">
        <v>9555.19</v>
      </c>
      <c r="AY16" s="85">
        <v>9800</v>
      </c>
      <c r="AZ16" s="53">
        <v>9800</v>
      </c>
      <c r="BA16" s="53">
        <v>9900</v>
      </c>
      <c r="BB16" s="53">
        <v>9900</v>
      </c>
      <c r="BC16" s="53">
        <v>10000</v>
      </c>
      <c r="BD16" s="53">
        <v>10100</v>
      </c>
      <c r="BE16" s="8">
        <v>10100</v>
      </c>
      <c r="BF16" s="8">
        <v>10200</v>
      </c>
      <c r="BG16" s="8">
        <v>10300</v>
      </c>
      <c r="BH16" s="119">
        <v>10300</v>
      </c>
      <c r="BI16" s="119">
        <v>10300</v>
      </c>
      <c r="BJ16" s="119">
        <v>10300</v>
      </c>
      <c r="BK16" s="119">
        <v>10300</v>
      </c>
      <c r="BL16" s="119">
        <v>10300</v>
      </c>
      <c r="BM16" s="119">
        <v>10300</v>
      </c>
      <c r="BN16" s="119">
        <v>10300</v>
      </c>
      <c r="BO16" s="119">
        <v>10300</v>
      </c>
      <c r="BP16" s="119">
        <v>10300</v>
      </c>
      <c r="BQ16" s="119">
        <v>10300</v>
      </c>
      <c r="BR16" s="143">
        <v>10300</v>
      </c>
      <c r="BS16" s="143">
        <v>10300</v>
      </c>
      <c r="BT16" s="143">
        <v>10300</v>
      </c>
      <c r="BU16" s="143">
        <v>10300</v>
      </c>
      <c r="BV16" s="143">
        <v>10300</v>
      </c>
      <c r="BW16" s="143">
        <v>10300</v>
      </c>
      <c r="BX16" s="143">
        <v>10300</v>
      </c>
      <c r="BY16" s="143">
        <v>10300</v>
      </c>
      <c r="BZ16" s="119">
        <v>10300</v>
      </c>
      <c r="CA16" s="119">
        <v>10300</v>
      </c>
      <c r="CB16" s="119">
        <v>10300</v>
      </c>
      <c r="CC16" s="119">
        <v>10300</v>
      </c>
      <c r="CD16" s="119">
        <v>10300</v>
      </c>
      <c r="CE16" s="119">
        <v>10300</v>
      </c>
      <c r="CF16" s="119">
        <v>10300</v>
      </c>
      <c r="CG16" s="119">
        <v>10300</v>
      </c>
    </row>
    <row r="17" spans="1:86" x14ac:dyDescent="0.25">
      <c r="A17" s="27" t="s">
        <v>111</v>
      </c>
      <c r="B17" s="31" t="s">
        <v>33</v>
      </c>
      <c r="C17" s="29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1"/>
      <c r="Q17" s="61"/>
      <c r="R17" s="61"/>
      <c r="S17" s="61"/>
      <c r="T17" s="61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>
        <v>1925</v>
      </c>
      <c r="AH17" s="62">
        <v>1925</v>
      </c>
      <c r="AI17" s="62">
        <v>1936.42</v>
      </c>
      <c r="AJ17" s="62">
        <v>1934.93</v>
      </c>
      <c r="AK17" s="62">
        <v>1934.93</v>
      </c>
      <c r="AL17" s="62">
        <v>1933.4</v>
      </c>
      <c r="AM17" s="62">
        <v>1850.5</v>
      </c>
      <c r="AN17" s="62">
        <v>1849.72</v>
      </c>
      <c r="AO17" s="33">
        <v>1849.72</v>
      </c>
      <c r="AP17" s="62">
        <v>1848.15</v>
      </c>
      <c r="AQ17" s="78">
        <v>1847.36</v>
      </c>
      <c r="AR17" s="78">
        <v>1846.56</v>
      </c>
      <c r="AS17" s="29">
        <v>6.37</v>
      </c>
      <c r="AT17" s="29">
        <v>4.7699999999999996</v>
      </c>
      <c r="AU17" s="29">
        <v>2.69</v>
      </c>
      <c r="AV17" s="29">
        <v>2.69</v>
      </c>
      <c r="AW17" s="29">
        <v>2.69</v>
      </c>
      <c r="AX17" s="14">
        <v>2.68</v>
      </c>
      <c r="AY17" s="83">
        <v>0</v>
      </c>
      <c r="AZ17" s="53">
        <v>0</v>
      </c>
      <c r="BA17" s="53">
        <v>0</v>
      </c>
      <c r="BB17" s="53">
        <v>0</v>
      </c>
      <c r="BC17" s="53">
        <v>0</v>
      </c>
      <c r="BD17" s="53">
        <v>0</v>
      </c>
      <c r="BE17" s="8">
        <v>0</v>
      </c>
      <c r="BF17" s="8">
        <v>0</v>
      </c>
      <c r="BG17" s="8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50.21</v>
      </c>
      <c r="BR17" s="119">
        <v>50.21</v>
      </c>
      <c r="BS17" s="119">
        <v>50.21</v>
      </c>
      <c r="BT17" s="119">
        <v>50.21</v>
      </c>
      <c r="BU17" s="119">
        <v>50.21</v>
      </c>
      <c r="BV17" s="119">
        <v>50.21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</row>
    <row r="18" spans="1:86" x14ac:dyDescent="0.25">
      <c r="A18" s="27" t="s">
        <v>72</v>
      </c>
      <c r="B18" s="32" t="s">
        <v>32</v>
      </c>
      <c r="C18" s="29" t="s">
        <v>49</v>
      </c>
      <c r="D18" s="5">
        <f t="shared" ref="D18:O18" si="55">SUM(D19:D22)</f>
        <v>989113.49000000011</v>
      </c>
      <c r="E18" s="3">
        <f t="shared" si="55"/>
        <v>990322.21</v>
      </c>
      <c r="F18" s="3">
        <f t="shared" si="55"/>
        <v>991721.32</v>
      </c>
      <c r="G18" s="3">
        <f t="shared" si="55"/>
        <v>792549.04999999993</v>
      </c>
      <c r="H18" s="3">
        <f t="shared" si="55"/>
        <v>792549.04999999993</v>
      </c>
      <c r="I18" s="3">
        <f t="shared" si="55"/>
        <v>787944.84</v>
      </c>
      <c r="J18" s="3">
        <f t="shared" si="55"/>
        <v>788627.96000000008</v>
      </c>
      <c r="K18" s="3">
        <f t="shared" si="55"/>
        <v>788847.77000000014</v>
      </c>
      <c r="L18" s="3">
        <f t="shared" si="55"/>
        <v>789271.44000000018</v>
      </c>
      <c r="M18" s="3">
        <f t="shared" si="55"/>
        <v>789929.83000000007</v>
      </c>
      <c r="N18" s="3">
        <f t="shared" si="55"/>
        <v>805938.21000000008</v>
      </c>
      <c r="O18" s="3">
        <f t="shared" si="55"/>
        <v>805763.65</v>
      </c>
      <c r="P18" s="71">
        <f t="shared" ref="P18:W18" si="56">SUM(P19:P22)</f>
        <v>806266.8600000001</v>
      </c>
      <c r="Q18" s="71">
        <f t="shared" si="56"/>
        <v>740891.34</v>
      </c>
      <c r="R18" s="71">
        <f t="shared" si="56"/>
        <v>741478.66</v>
      </c>
      <c r="S18" s="71">
        <f t="shared" si="56"/>
        <v>741986.47000000009</v>
      </c>
      <c r="T18" s="71">
        <f t="shared" si="56"/>
        <v>755397.69000000006</v>
      </c>
      <c r="U18" s="63">
        <f t="shared" si="56"/>
        <v>755939.87</v>
      </c>
      <c r="V18" s="63">
        <f t="shared" si="56"/>
        <v>756704.27</v>
      </c>
      <c r="W18" s="63">
        <f t="shared" si="56"/>
        <v>761001.11</v>
      </c>
      <c r="X18" s="63">
        <f t="shared" ref="X18:Y18" si="57">SUM(X19:X22)</f>
        <v>760940.65</v>
      </c>
      <c r="Y18" s="63">
        <f t="shared" si="57"/>
        <v>761107.48999999987</v>
      </c>
      <c r="Z18" s="63">
        <f t="shared" ref="Z18:AA18" si="58">SUM(Z19:Z22)</f>
        <v>766969.1399999999</v>
      </c>
      <c r="AA18" s="63">
        <f t="shared" si="58"/>
        <v>767407.07</v>
      </c>
      <c r="AB18" s="63">
        <f t="shared" ref="AB18:AG18" si="59">SUM(AB19:AB22)</f>
        <v>780747.25</v>
      </c>
      <c r="AC18" s="63">
        <f t="shared" si="59"/>
        <v>802353.4800000001</v>
      </c>
      <c r="AD18" s="63">
        <f t="shared" si="59"/>
        <v>801759.88000000012</v>
      </c>
      <c r="AE18" s="63">
        <f t="shared" si="59"/>
        <v>743402.89399999997</v>
      </c>
      <c r="AF18" s="63">
        <f t="shared" si="59"/>
        <v>744573.73499999999</v>
      </c>
      <c r="AG18" s="63">
        <f t="shared" si="59"/>
        <v>674598.7699999999</v>
      </c>
      <c r="AH18" s="63">
        <f t="shared" ref="AH18:AI18" si="60">SUM(AH19:AH22)</f>
        <v>678934.25999999989</v>
      </c>
      <c r="AI18" s="63">
        <f t="shared" si="60"/>
        <v>684273.97</v>
      </c>
      <c r="AJ18" s="63">
        <f>SUM(AJ19:AJ22)</f>
        <v>684611.69</v>
      </c>
      <c r="AK18" s="63">
        <f>SUM(AK19:AK22)</f>
        <v>690011.32</v>
      </c>
      <c r="AL18" s="63">
        <f>SUM(AL19:AL22)</f>
        <v>683623.72000000009</v>
      </c>
      <c r="AM18" s="63">
        <f>SUM(AM19:AM22)</f>
        <v>688652.66</v>
      </c>
      <c r="AN18" s="63">
        <v>695725.39</v>
      </c>
      <c r="AO18" s="74">
        <v>701733.66</v>
      </c>
      <c r="AP18" s="75">
        <f>SUM(AP19:AP22)</f>
        <v>705739.45000000007</v>
      </c>
      <c r="AQ18" s="75">
        <f>SUM(AQ19:AQ22)</f>
        <v>683426.45000000007</v>
      </c>
      <c r="AR18" s="75">
        <v>689860.37</v>
      </c>
      <c r="AS18" s="87">
        <f t="shared" ref="AS18:AX18" si="61">SUM(AS19:AS22)</f>
        <v>681961.76</v>
      </c>
      <c r="AT18" s="87">
        <f t="shared" si="61"/>
        <v>686253.77364051004</v>
      </c>
      <c r="AU18" s="87">
        <f t="shared" si="61"/>
        <v>693883.75000000012</v>
      </c>
      <c r="AV18" s="87">
        <f t="shared" si="61"/>
        <v>694200.84000000008</v>
      </c>
      <c r="AW18" s="87">
        <f t="shared" si="61"/>
        <v>697420.50000000012</v>
      </c>
      <c r="AX18" s="87">
        <f t="shared" si="61"/>
        <v>697211.31</v>
      </c>
      <c r="AY18" s="87">
        <f t="shared" ref="AY18:BF18" si="62">SUM(AY19:AY22)</f>
        <v>697236.47999999998</v>
      </c>
      <c r="AZ18" s="75">
        <f t="shared" si="62"/>
        <v>702572.12</v>
      </c>
      <c r="BA18" s="75">
        <f t="shared" si="62"/>
        <v>710079.15</v>
      </c>
      <c r="BB18" s="75">
        <f t="shared" si="62"/>
        <v>710395.73</v>
      </c>
      <c r="BC18" s="75">
        <f t="shared" si="62"/>
        <v>723702.08</v>
      </c>
      <c r="BD18" s="75">
        <f t="shared" si="62"/>
        <v>724023.95</v>
      </c>
      <c r="BE18" s="84">
        <f t="shared" si="62"/>
        <v>724541.94000000006</v>
      </c>
      <c r="BF18" s="84">
        <f t="shared" si="62"/>
        <v>643142.22</v>
      </c>
      <c r="BG18" s="84">
        <f t="shared" ref="BG18:BH18" si="63">SUM(BG19:BG22)</f>
        <v>643507.61</v>
      </c>
      <c r="BH18" s="122">
        <f t="shared" si="63"/>
        <v>644102.98</v>
      </c>
      <c r="BI18" s="122">
        <f t="shared" ref="BI18:BJ18" si="64">SUM(BI19:BI22)</f>
        <v>644703.78</v>
      </c>
      <c r="BJ18" s="122">
        <f t="shared" si="64"/>
        <v>644709.82000000007</v>
      </c>
      <c r="BK18" s="122">
        <f t="shared" ref="BK18:BL18" si="65">SUM(BK19:BK22)</f>
        <v>662007.39</v>
      </c>
      <c r="BL18" s="122">
        <f t="shared" si="65"/>
        <v>664728.33000000007</v>
      </c>
      <c r="BM18" s="122">
        <f t="shared" ref="BM18" si="66">SUM(BM19:BM22)</f>
        <v>643281.56000000006</v>
      </c>
      <c r="BN18" s="122">
        <f t="shared" ref="BN18:BO18" si="67">SUM(BN19:BN22)</f>
        <v>643401.29</v>
      </c>
      <c r="BO18" s="122">
        <f t="shared" si="67"/>
        <v>650287.34000000008</v>
      </c>
      <c r="BP18" s="122">
        <f t="shared" ref="BP18:BQ18" si="68">SUM(BP19:BP22)</f>
        <v>650905.29</v>
      </c>
      <c r="BQ18" s="122">
        <f t="shared" si="68"/>
        <v>659101.37</v>
      </c>
      <c r="BR18" s="122">
        <f t="shared" ref="BR18:BS18" si="69">SUM(BR19:BR22)</f>
        <v>738793.88</v>
      </c>
      <c r="BS18" s="122">
        <f t="shared" si="69"/>
        <v>739138.02</v>
      </c>
      <c r="BT18" s="122">
        <f t="shared" ref="BT18:BU18" si="70">SUM(BT19:BT22)</f>
        <v>739637.95000000007</v>
      </c>
      <c r="BU18" s="122">
        <f t="shared" si="70"/>
        <v>740264.62</v>
      </c>
      <c r="BV18" s="122">
        <f t="shared" ref="BV18:BW18" si="71">SUM(BV19:BV22)</f>
        <v>734478.71000000008</v>
      </c>
      <c r="BW18" s="122">
        <f t="shared" si="71"/>
        <v>742715.83000000007</v>
      </c>
      <c r="BX18" s="122">
        <f t="shared" ref="BX18:BY18" si="72">SUM(BX19:BX22)</f>
        <v>742157.96000000008</v>
      </c>
      <c r="BY18" s="122">
        <f t="shared" si="72"/>
        <v>752608.81</v>
      </c>
      <c r="BZ18" s="122">
        <f t="shared" ref="BZ18:CA18" si="73">SUM(BZ19:BZ22)</f>
        <v>752963.44000000006</v>
      </c>
      <c r="CA18" s="122">
        <f t="shared" si="73"/>
        <v>763756.93</v>
      </c>
      <c r="CB18" s="122">
        <f t="shared" ref="CB18:CC18" si="74">SUM(CB19:CB22)</f>
        <v>769576.12</v>
      </c>
      <c r="CC18" s="122">
        <f t="shared" si="74"/>
        <v>770442.41</v>
      </c>
      <c r="CD18" s="122">
        <f t="shared" ref="CD18:CE18" si="75">SUM(CD19:CD22)</f>
        <v>776519.6235407301</v>
      </c>
      <c r="CE18" s="122">
        <f t="shared" si="75"/>
        <v>787703.81</v>
      </c>
      <c r="CF18" s="122">
        <f t="shared" ref="CF18:CG18" si="76">SUM(CF19:CF22)</f>
        <v>794057.25</v>
      </c>
      <c r="CG18" s="122">
        <f t="shared" si="76"/>
        <v>751635.79</v>
      </c>
    </row>
    <row r="19" spans="1:86" x14ac:dyDescent="0.25">
      <c r="A19" s="27" t="s">
        <v>73</v>
      </c>
      <c r="B19" s="31" t="s">
        <v>29</v>
      </c>
      <c r="C19" s="29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61">
        <f>738717.09-P14</f>
        <v>738713.72</v>
      </c>
      <c r="Q19" s="61">
        <f>744752.46-Q14</f>
        <v>672150.19</v>
      </c>
      <c r="R19" s="61">
        <f>744828.59-R14</f>
        <v>672226.32</v>
      </c>
      <c r="S19" s="61">
        <f>745245.81-S14</f>
        <v>672643.54</v>
      </c>
      <c r="T19" s="61">
        <f>753212.02-T14</f>
        <v>685520.75</v>
      </c>
      <c r="U19" s="62">
        <f>750328.04-U14</f>
        <v>685836.77</v>
      </c>
      <c r="V19" s="62">
        <f>750653.08-V14</f>
        <v>686161.80999999994</v>
      </c>
      <c r="W19" s="62">
        <f>758985.35-W14</f>
        <v>690494.08</v>
      </c>
      <c r="X19" s="62">
        <f>759241.43-X14</f>
        <v>690750.16</v>
      </c>
      <c r="Y19" s="62">
        <f>759503.69-Y14</f>
        <v>691012.41999999993</v>
      </c>
      <c r="Z19" s="62">
        <f>772935.2-Z14</f>
        <v>696956.42999999993</v>
      </c>
      <c r="AA19" s="62">
        <f>773218.48-AA14</f>
        <v>697239.71</v>
      </c>
      <c r="AB19" s="62">
        <f>786173.08-AB14</f>
        <v>710194.30999999994</v>
      </c>
      <c r="AC19" s="62">
        <f>742900.92-AC14</f>
        <v>731410.05</v>
      </c>
      <c r="AD19" s="62">
        <f>743108.92-AD14</f>
        <v>731618.05</v>
      </c>
      <c r="AE19" s="62">
        <f>743403.24-AE14</f>
        <v>673474.08</v>
      </c>
      <c r="AF19" s="62">
        <f>743822.9-AF14</f>
        <v>673893.74</v>
      </c>
      <c r="AG19" s="62">
        <f>744156.08-AG14</f>
        <v>674226.91999999993</v>
      </c>
      <c r="AH19" s="62">
        <f>748491.57-AH14</f>
        <v>678562.40999999992</v>
      </c>
      <c r="AI19" s="62">
        <f>749843.46-AI14</f>
        <v>683914.29999999993</v>
      </c>
      <c r="AJ19" s="62">
        <f>750181.19-AJ14</f>
        <v>684252.02999999991</v>
      </c>
      <c r="AK19" s="62">
        <f>755580.82-AK14</f>
        <v>689651.65999999992</v>
      </c>
      <c r="AL19" s="62">
        <f>741825.39-AL14</f>
        <v>683264.06</v>
      </c>
      <c r="AM19" s="62">
        <f>746912.59-AM14</f>
        <v>688351.26</v>
      </c>
      <c r="AN19" s="62">
        <v>695423.99</v>
      </c>
      <c r="AO19" s="33">
        <v>701432.26</v>
      </c>
      <c r="AP19" s="52">
        <v>705438.05</v>
      </c>
      <c r="AQ19" s="78">
        <v>683125.05</v>
      </c>
      <c r="AR19" s="78">
        <v>689558.97</v>
      </c>
      <c r="AS19" s="85">
        <v>681710.57</v>
      </c>
      <c r="AT19" s="8">
        <v>686002.58364050998</v>
      </c>
      <c r="AU19" s="8">
        <v>693632.56</v>
      </c>
      <c r="AV19" s="85">
        <v>693949.65</v>
      </c>
      <c r="AW19" s="85">
        <v>697169.31</v>
      </c>
      <c r="AX19" s="111">
        <v>696960.12</v>
      </c>
      <c r="AY19" s="111">
        <v>697035.5</v>
      </c>
      <c r="AZ19" s="53">
        <v>702371.14</v>
      </c>
      <c r="BA19" s="53">
        <v>709878.17</v>
      </c>
      <c r="BB19" s="53">
        <v>710194.75</v>
      </c>
      <c r="BC19" s="53">
        <v>723501.1</v>
      </c>
      <c r="BD19" s="53">
        <v>723822.97</v>
      </c>
      <c r="BE19" s="8">
        <v>724391.16</v>
      </c>
      <c r="BF19" s="8">
        <v>642991.43999999994</v>
      </c>
      <c r="BG19" s="8">
        <v>643356.82999999996</v>
      </c>
      <c r="BH19" s="119">
        <v>643952.19999999995</v>
      </c>
      <c r="BI19" s="119">
        <v>644553</v>
      </c>
      <c r="BJ19" s="119">
        <v>644559.04</v>
      </c>
      <c r="BK19" s="119">
        <v>661856.61</v>
      </c>
      <c r="BL19" s="119">
        <v>664627.76</v>
      </c>
      <c r="BM19" s="119">
        <v>643180.99</v>
      </c>
      <c r="BN19" s="119">
        <v>643300.72</v>
      </c>
      <c r="BO19" s="119">
        <v>650186.77</v>
      </c>
      <c r="BP19" s="119">
        <v>650804.72</v>
      </c>
      <c r="BQ19" s="119">
        <v>659101.22</v>
      </c>
      <c r="BR19" s="119">
        <v>738793.73</v>
      </c>
      <c r="BS19" s="119">
        <v>739137.87</v>
      </c>
      <c r="BT19" s="119">
        <v>739637.8</v>
      </c>
      <c r="BU19" s="119">
        <v>740264.47</v>
      </c>
      <c r="BV19" s="119">
        <v>734478.56</v>
      </c>
      <c r="BW19" s="119">
        <v>742715.68</v>
      </c>
      <c r="BX19" s="119">
        <v>742157.81</v>
      </c>
      <c r="BY19" s="119">
        <v>752608.66</v>
      </c>
      <c r="BZ19" s="119">
        <v>752963.29</v>
      </c>
      <c r="CA19" s="119">
        <v>763756.78</v>
      </c>
      <c r="CB19" s="119">
        <v>769575.97</v>
      </c>
      <c r="CC19" s="119">
        <v>770442.26</v>
      </c>
      <c r="CD19" s="119">
        <v>776519.47354073008</v>
      </c>
      <c r="CE19" s="119">
        <v>787703.66</v>
      </c>
      <c r="CF19" s="119">
        <v>794057.1</v>
      </c>
      <c r="CG19" s="119">
        <v>751635.64</v>
      </c>
      <c r="CH19" s="69"/>
    </row>
    <row r="20" spans="1:86" x14ac:dyDescent="0.25">
      <c r="A20" s="27" t="s">
        <v>74</v>
      </c>
      <c r="B20" s="31" t="s">
        <v>30</v>
      </c>
      <c r="C20" s="29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61">
        <f>71062.35-P15</f>
        <v>64824.570000000007</v>
      </c>
      <c r="Q20" s="61">
        <f>72364.68-Q15</f>
        <v>66012.579999999987</v>
      </c>
      <c r="R20" s="61">
        <f>72925.78-R15</f>
        <v>66524.429999999993</v>
      </c>
      <c r="S20" s="61">
        <f>73026.58-S15</f>
        <v>66616.38</v>
      </c>
      <c r="T20" s="61">
        <f>73611.97-T15</f>
        <v>67150.39</v>
      </c>
      <c r="U20" s="62">
        <f>67517.63-U15</f>
        <v>67517.63</v>
      </c>
      <c r="V20" s="62">
        <f>67957.68-V15</f>
        <v>67957.679999999993</v>
      </c>
      <c r="W20" s="62">
        <f>67922.25-W15</f>
        <v>67922.25</v>
      </c>
      <c r="X20" s="62">
        <v>67607.11</v>
      </c>
      <c r="Y20" s="62">
        <v>67511.679999999993</v>
      </c>
      <c r="Z20" s="62">
        <v>67430.73</v>
      </c>
      <c r="AA20" s="62">
        <v>67726.490000000005</v>
      </c>
      <c r="AB20" s="62">
        <v>68112.800000000003</v>
      </c>
      <c r="AC20" s="62">
        <v>68504</v>
      </c>
      <c r="AD20" s="62">
        <f>67703.12-AD15</f>
        <v>67703.12</v>
      </c>
      <c r="AE20" s="62">
        <f>67490.839-AE15</f>
        <v>67490.839000000007</v>
      </c>
      <c r="AF20" s="62">
        <f>68242.02-AF15</f>
        <v>68242.02</v>
      </c>
      <c r="AG20" s="62">
        <f t="shared" ref="AG20:AL20" si="77">0-AG15</f>
        <v>0</v>
      </c>
      <c r="AH20" s="62">
        <f t="shared" si="77"/>
        <v>0</v>
      </c>
      <c r="AI20" s="62">
        <f t="shared" si="77"/>
        <v>0</v>
      </c>
      <c r="AJ20" s="62">
        <f t="shared" si="77"/>
        <v>0</v>
      </c>
      <c r="AK20" s="62">
        <f t="shared" si="77"/>
        <v>0</v>
      </c>
      <c r="AL20" s="62">
        <f t="shared" si="77"/>
        <v>0</v>
      </c>
      <c r="AM20" s="62">
        <f>0-AM15</f>
        <v>0</v>
      </c>
      <c r="AN20" s="62">
        <v>0</v>
      </c>
      <c r="AO20" s="62">
        <v>0</v>
      </c>
      <c r="AP20" s="62">
        <v>0</v>
      </c>
      <c r="AQ20" s="73">
        <v>0</v>
      </c>
      <c r="AR20" s="73">
        <v>0</v>
      </c>
      <c r="AS20" s="86">
        <v>0</v>
      </c>
      <c r="AT20" s="85">
        <v>0</v>
      </c>
      <c r="AU20" s="85">
        <v>0</v>
      </c>
      <c r="AV20" s="83">
        <v>0</v>
      </c>
      <c r="AW20" s="83">
        <v>0</v>
      </c>
      <c r="AX20" s="111">
        <v>0</v>
      </c>
      <c r="AY20" s="111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8">
        <v>0</v>
      </c>
      <c r="BF20" s="8">
        <v>0</v>
      </c>
      <c r="BG20" s="8">
        <v>0</v>
      </c>
      <c r="BH20" s="119">
        <v>0</v>
      </c>
      <c r="BI20" s="119">
        <v>0</v>
      </c>
      <c r="BJ20" s="119">
        <v>0</v>
      </c>
      <c r="BK20" s="119">
        <v>0</v>
      </c>
      <c r="BL20" s="119">
        <v>0</v>
      </c>
      <c r="BM20" s="119">
        <v>0</v>
      </c>
      <c r="BN20" s="119">
        <v>0</v>
      </c>
      <c r="BO20" s="119">
        <v>0</v>
      </c>
      <c r="BP20" s="119">
        <v>0</v>
      </c>
      <c r="BQ20" s="119">
        <v>0</v>
      </c>
      <c r="BR20" s="119">
        <v>0</v>
      </c>
      <c r="BS20" s="119">
        <v>0</v>
      </c>
      <c r="BT20" s="119">
        <v>0</v>
      </c>
      <c r="BU20" s="119">
        <v>0</v>
      </c>
      <c r="BV20" s="119">
        <v>0</v>
      </c>
      <c r="BW20" s="119">
        <v>0</v>
      </c>
      <c r="BX20" s="119">
        <v>0</v>
      </c>
      <c r="BY20" s="119">
        <v>0</v>
      </c>
      <c r="BZ20" s="119">
        <v>0</v>
      </c>
      <c r="CA20" s="119">
        <v>0</v>
      </c>
      <c r="CB20" s="119">
        <v>0</v>
      </c>
      <c r="CC20" s="119">
        <v>0</v>
      </c>
      <c r="CD20" s="119">
        <v>0</v>
      </c>
      <c r="CE20" s="119">
        <v>0</v>
      </c>
      <c r="CF20" s="119">
        <v>0</v>
      </c>
      <c r="CG20" s="119">
        <v>0</v>
      </c>
    </row>
    <row r="21" spans="1:86" x14ac:dyDescent="0.25">
      <c r="A21" s="27" t="s">
        <v>75</v>
      </c>
      <c r="B21" s="31" t="s">
        <v>33</v>
      </c>
      <c r="C21" s="29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61">
        <f>2728.42</f>
        <v>2728.42</v>
      </c>
      <c r="Q21" s="61">
        <f>2728.42</f>
        <v>2728.42</v>
      </c>
      <c r="R21" s="61">
        <f>2727.76</f>
        <v>2727.76</v>
      </c>
      <c r="S21" s="61">
        <v>2726.4</v>
      </c>
      <c r="T21" s="61">
        <v>2726.4</v>
      </c>
      <c r="U21" s="62">
        <v>2585.3200000000002</v>
      </c>
      <c r="V21" s="62">
        <v>2584.63</v>
      </c>
      <c r="W21" s="62">
        <v>2584.63</v>
      </c>
      <c r="X21" s="62">
        <v>2583.23</v>
      </c>
      <c r="Y21" s="62">
        <v>2583.2399999999998</v>
      </c>
      <c r="Z21" s="62">
        <v>2581.83</v>
      </c>
      <c r="AA21" s="62">
        <v>2440.7199999999998</v>
      </c>
      <c r="AB21" s="62">
        <v>2439.9899999999998</v>
      </c>
      <c r="AC21" s="62">
        <v>2439.2800000000002</v>
      </c>
      <c r="AD21" s="62">
        <f>2438.56</f>
        <v>2438.56</v>
      </c>
      <c r="AE21" s="62">
        <f>2437.825</f>
        <v>2437.8249999999998</v>
      </c>
      <c r="AF21" s="62">
        <f>2437.825</f>
        <v>2437.8249999999998</v>
      </c>
      <c r="AG21" s="62">
        <f>2296.7-AG17</f>
        <v>371.69999999999982</v>
      </c>
      <c r="AH21" s="62">
        <f>2296.7-AH17</f>
        <v>371.69999999999982</v>
      </c>
      <c r="AI21" s="62">
        <f>2295.94-AI17</f>
        <v>359.52</v>
      </c>
      <c r="AJ21" s="62">
        <f>2294.44-AJ17</f>
        <v>359.51</v>
      </c>
      <c r="AK21" s="62">
        <f>2294.44-AK17</f>
        <v>359.51</v>
      </c>
      <c r="AL21" s="62">
        <f>2292.91-AL17</f>
        <v>359.50999999999976</v>
      </c>
      <c r="AM21" s="62">
        <f>2151.75-AM17</f>
        <v>301.25</v>
      </c>
      <c r="AN21" s="62">
        <v>301.25</v>
      </c>
      <c r="AO21" s="33">
        <v>301.24999999999977</v>
      </c>
      <c r="AP21" s="52">
        <v>301.25</v>
      </c>
      <c r="AQ21" s="78">
        <v>301.25</v>
      </c>
      <c r="AR21" s="78">
        <v>301.25</v>
      </c>
      <c r="AS21" s="29">
        <v>251.04</v>
      </c>
      <c r="AT21" s="85">
        <v>251.04</v>
      </c>
      <c r="AU21" s="85">
        <v>251.04</v>
      </c>
      <c r="AV21" s="14">
        <v>251.04</v>
      </c>
      <c r="AW21" s="14">
        <v>251.04</v>
      </c>
      <c r="AX21" s="14">
        <v>251.04</v>
      </c>
      <c r="AY21" s="14">
        <v>200.83</v>
      </c>
      <c r="AZ21" s="53">
        <v>200.83</v>
      </c>
      <c r="BA21" s="53">
        <v>200.83</v>
      </c>
      <c r="BB21" s="53">
        <v>200.83</v>
      </c>
      <c r="BC21" s="53">
        <v>200.83</v>
      </c>
      <c r="BD21" s="53">
        <v>200.83</v>
      </c>
      <c r="BE21" s="8">
        <v>150.63</v>
      </c>
      <c r="BF21" s="8">
        <v>150.63</v>
      </c>
      <c r="BG21" s="8">
        <v>150.63</v>
      </c>
      <c r="BH21" s="119">
        <v>150.63</v>
      </c>
      <c r="BI21" s="119">
        <v>150.63</v>
      </c>
      <c r="BJ21" s="119">
        <v>150.63</v>
      </c>
      <c r="BK21" s="119">
        <v>150.63</v>
      </c>
      <c r="BL21" s="119">
        <v>100.42</v>
      </c>
      <c r="BM21" s="119">
        <v>100.42</v>
      </c>
      <c r="BN21" s="119">
        <v>100.42</v>
      </c>
      <c r="BO21" s="119">
        <v>100.42</v>
      </c>
      <c r="BP21" s="119">
        <v>100.42</v>
      </c>
      <c r="BQ21" s="119">
        <v>0</v>
      </c>
      <c r="BR21" s="119">
        <v>0</v>
      </c>
      <c r="BS21" s="119">
        <v>0</v>
      </c>
      <c r="BT21" s="119">
        <v>0</v>
      </c>
      <c r="BU21" s="119">
        <v>0</v>
      </c>
      <c r="BV21" s="119">
        <v>0</v>
      </c>
      <c r="BW21" s="119">
        <v>0</v>
      </c>
      <c r="BX21" s="119">
        <v>0</v>
      </c>
      <c r="BY21" s="119">
        <v>0</v>
      </c>
      <c r="BZ21" s="119">
        <v>0</v>
      </c>
      <c r="CA21" s="119">
        <v>0</v>
      </c>
      <c r="CB21" s="119">
        <v>0</v>
      </c>
      <c r="CC21" s="119">
        <v>0</v>
      </c>
      <c r="CD21" s="119">
        <v>0</v>
      </c>
      <c r="CE21" s="119">
        <v>0</v>
      </c>
      <c r="CF21" s="119">
        <v>0</v>
      </c>
      <c r="CG21" s="119">
        <v>0</v>
      </c>
    </row>
    <row r="22" spans="1:86" x14ac:dyDescent="0.25">
      <c r="A22" s="27" t="s">
        <v>76</v>
      </c>
      <c r="B22" s="31" t="s">
        <v>34</v>
      </c>
      <c r="C22" s="29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61">
        <v>0.15</v>
      </c>
      <c r="Q22" s="61">
        <v>0.15</v>
      </c>
      <c r="R22" s="61">
        <v>0.15</v>
      </c>
      <c r="S22" s="61">
        <v>0.15</v>
      </c>
      <c r="T22" s="61">
        <v>0.15</v>
      </c>
      <c r="U22" s="62">
        <v>0.15</v>
      </c>
      <c r="V22" s="62">
        <v>0.15</v>
      </c>
      <c r="W22" s="62">
        <v>0.15</v>
      </c>
      <c r="X22" s="62">
        <v>0.15</v>
      </c>
      <c r="Y22" s="62">
        <v>0.15</v>
      </c>
      <c r="Z22" s="62">
        <v>0.15</v>
      </c>
      <c r="AA22" s="64">
        <v>0.15</v>
      </c>
      <c r="AB22" s="62">
        <v>0.15</v>
      </c>
      <c r="AC22" s="62">
        <v>0.15</v>
      </c>
      <c r="AD22" s="62">
        <v>0.15</v>
      </c>
      <c r="AE22" s="62">
        <v>0.15</v>
      </c>
      <c r="AF22" s="62">
        <v>0.15</v>
      </c>
      <c r="AG22" s="62">
        <v>0.15</v>
      </c>
      <c r="AH22" s="62">
        <v>0.15</v>
      </c>
      <c r="AI22" s="62">
        <v>0.15</v>
      </c>
      <c r="AJ22" s="62">
        <v>0.15</v>
      </c>
      <c r="AK22" s="62">
        <v>0.15</v>
      </c>
      <c r="AL22" s="62">
        <v>0.15</v>
      </c>
      <c r="AM22" s="62">
        <v>0.15</v>
      </c>
      <c r="AN22" s="62">
        <v>0.15</v>
      </c>
      <c r="AO22" s="33">
        <v>0.15</v>
      </c>
      <c r="AP22" s="52">
        <v>0.15</v>
      </c>
      <c r="AQ22" s="78">
        <v>0.15</v>
      </c>
      <c r="AR22" s="78">
        <v>0.15</v>
      </c>
      <c r="AS22" s="29">
        <v>0.15</v>
      </c>
      <c r="AT22" s="85">
        <v>0.15</v>
      </c>
      <c r="AU22" s="85">
        <v>0.15</v>
      </c>
      <c r="AV22" s="14">
        <v>0.15</v>
      </c>
      <c r="AW22" s="14">
        <v>0.15</v>
      </c>
      <c r="AX22" s="14">
        <v>0.15</v>
      </c>
      <c r="AY22" s="14">
        <v>0.15</v>
      </c>
      <c r="AZ22" s="53">
        <v>0.15</v>
      </c>
      <c r="BA22" s="53">
        <v>0.15</v>
      </c>
      <c r="BB22" s="53">
        <v>0.15</v>
      </c>
      <c r="BC22" s="53">
        <v>0.15</v>
      </c>
      <c r="BD22" s="53">
        <v>0.15</v>
      </c>
      <c r="BE22" s="8">
        <v>0.15</v>
      </c>
      <c r="BF22" s="8">
        <v>0.15</v>
      </c>
      <c r="BG22" s="8">
        <v>0.15</v>
      </c>
      <c r="BH22" s="119">
        <v>0.15</v>
      </c>
      <c r="BI22" s="119">
        <v>0.15</v>
      </c>
      <c r="BJ22" s="119">
        <v>0.15</v>
      </c>
      <c r="BK22" s="119">
        <v>0.15</v>
      </c>
      <c r="BL22" s="119">
        <v>0.15</v>
      </c>
      <c r="BM22" s="119">
        <v>0.15</v>
      </c>
      <c r="BN22" s="119">
        <v>0.15</v>
      </c>
      <c r="BO22" s="119">
        <v>0.15</v>
      </c>
      <c r="BP22" s="119">
        <v>0.15</v>
      </c>
      <c r="BQ22" s="119">
        <v>0.15</v>
      </c>
      <c r="BR22" s="142">
        <v>0.15</v>
      </c>
      <c r="BS22" s="142">
        <v>0.15</v>
      </c>
      <c r="BT22" s="142">
        <v>0.15</v>
      </c>
      <c r="BU22" s="142">
        <v>0.15</v>
      </c>
      <c r="BV22" s="142">
        <v>0.15</v>
      </c>
      <c r="BW22" s="142">
        <v>0.15</v>
      </c>
      <c r="BX22" s="142">
        <v>0.15</v>
      </c>
      <c r="BY22" s="142">
        <v>0.15</v>
      </c>
      <c r="BZ22" s="119">
        <v>0.15</v>
      </c>
      <c r="CA22" s="119">
        <v>0.15</v>
      </c>
      <c r="CB22" s="119">
        <v>0.15</v>
      </c>
      <c r="CC22" s="119">
        <v>0.15</v>
      </c>
      <c r="CD22" s="119">
        <v>0.15</v>
      </c>
      <c r="CE22" s="119">
        <v>0.15</v>
      </c>
      <c r="CF22" s="119">
        <v>0.15</v>
      </c>
      <c r="CG22" s="119">
        <v>0.15</v>
      </c>
    </row>
    <row r="23" spans="1:86" x14ac:dyDescent="0.25">
      <c r="A23" s="27" t="s">
        <v>77</v>
      </c>
      <c r="B23" s="30" t="s">
        <v>35</v>
      </c>
      <c r="C23" s="29" t="s">
        <v>44</v>
      </c>
      <c r="D23" s="5">
        <f t="shared" ref="D23:O23" si="78">D24+D30</f>
        <v>988790.75936999987</v>
      </c>
      <c r="E23" s="3">
        <f t="shared" si="78"/>
        <v>989036.85355999996</v>
      </c>
      <c r="F23" s="3">
        <f t="shared" si="78"/>
        <v>969147.32040000008</v>
      </c>
      <c r="G23" s="3">
        <f t="shared" si="78"/>
        <v>1192676.7069599999</v>
      </c>
      <c r="H23" s="3">
        <f t="shared" si="78"/>
        <v>1216502.4066000003</v>
      </c>
      <c r="I23" s="3">
        <f t="shared" si="78"/>
        <v>1227864.9310200003</v>
      </c>
      <c r="J23" s="3">
        <f t="shared" si="78"/>
        <v>1230925.9461699999</v>
      </c>
      <c r="K23" s="3">
        <f t="shared" si="78"/>
        <v>1225944.9040000001</v>
      </c>
      <c r="L23" s="3">
        <f t="shared" si="78"/>
        <v>1241960.3099999998</v>
      </c>
      <c r="M23" s="3">
        <f t="shared" si="78"/>
        <v>1245463.3429700001</v>
      </c>
      <c r="N23" s="3">
        <f t="shared" si="78"/>
        <v>1249265.31006</v>
      </c>
      <c r="O23" s="3">
        <f t="shared" si="78"/>
        <v>1252810.9733400003</v>
      </c>
      <c r="P23" s="71">
        <f t="shared" ref="P23:W23" si="79">P24+P30</f>
        <v>1260519.15973</v>
      </c>
      <c r="Q23" s="71">
        <f t="shared" si="79"/>
        <v>1278616.3289400002</v>
      </c>
      <c r="R23" s="71">
        <f t="shared" si="79"/>
        <v>1292220.7340999998</v>
      </c>
      <c r="S23" s="71">
        <f t="shared" si="79"/>
        <v>1288413.09928</v>
      </c>
      <c r="T23" s="71">
        <f t="shared" si="79"/>
        <v>1309342.4064500001</v>
      </c>
      <c r="U23" s="63">
        <f t="shared" si="79"/>
        <v>1320210.2649599998</v>
      </c>
      <c r="V23" s="63">
        <f t="shared" si="79"/>
        <v>1322759.6212000002</v>
      </c>
      <c r="W23" s="63">
        <f t="shared" si="79"/>
        <v>1316276.2434599998</v>
      </c>
      <c r="X23" s="63">
        <f t="shared" ref="X23:AA23" si="80">X24+X30</f>
        <v>1315743.4576000003</v>
      </c>
      <c r="Y23" s="63">
        <f t="shared" si="80"/>
        <v>1313642.5281099998</v>
      </c>
      <c r="Z23" s="63">
        <f t="shared" si="80"/>
        <v>1306406.3199230002</v>
      </c>
      <c r="AA23" s="63">
        <f t="shared" si="80"/>
        <v>1310340.4601072001</v>
      </c>
      <c r="AB23" s="63">
        <f t="shared" ref="AB23:AD23" si="81">AB24+AB30</f>
        <v>1245446.7671700001</v>
      </c>
      <c r="AC23" s="63">
        <f t="shared" si="81"/>
        <v>1253003.2915399999</v>
      </c>
      <c r="AD23" s="63">
        <f t="shared" si="81"/>
        <v>1212205.5786000001</v>
      </c>
      <c r="AE23" s="63">
        <f t="shared" ref="AE23:AF23" si="82">AE24+AE30</f>
        <v>1215708.0604699999</v>
      </c>
      <c r="AF23" s="63">
        <f t="shared" si="82"/>
        <v>1321954.5215600003</v>
      </c>
      <c r="AG23" s="63">
        <f t="shared" ref="AG23:AI23" si="83">AG24+AG30</f>
        <v>1321587.4209999999</v>
      </c>
      <c r="AH23" s="63">
        <f t="shared" si="83"/>
        <v>1291515.5162</v>
      </c>
      <c r="AI23" s="63">
        <f t="shared" si="83"/>
        <v>1277101.58378</v>
      </c>
      <c r="AJ23" s="63">
        <f>AJ24+AJ30</f>
        <v>1262854.0411199997</v>
      </c>
      <c r="AK23" s="63">
        <f>AK24+AK30</f>
        <v>1267984.53116</v>
      </c>
      <c r="AL23" s="63">
        <f>AL24+AL30</f>
        <v>1292497.1669999997</v>
      </c>
      <c r="AM23" s="63">
        <f>AM24+AM30</f>
        <v>1271289.4379999998</v>
      </c>
      <c r="AN23" s="63">
        <v>1264164.06</v>
      </c>
      <c r="AO23" s="74">
        <v>1292672.1967500001</v>
      </c>
      <c r="AP23" s="75">
        <f>AP24+AP30</f>
        <v>1296092.1261200001</v>
      </c>
      <c r="AQ23" s="75">
        <f>AQ24+AQ30</f>
        <v>1344857.1571499999</v>
      </c>
      <c r="AR23" s="75">
        <v>1365820.5980999996</v>
      </c>
      <c r="AS23" s="87">
        <f t="shared" ref="AS23:AX23" si="84">AS24+AS30</f>
        <v>1340273.0387200001</v>
      </c>
      <c r="AT23" s="84">
        <f t="shared" si="84"/>
        <v>1275211.3199999998</v>
      </c>
      <c r="AU23" s="84">
        <f t="shared" si="84"/>
        <v>1265271.5691899997</v>
      </c>
      <c r="AV23" s="101">
        <f t="shared" si="84"/>
        <v>1269063.51</v>
      </c>
      <c r="AW23" s="101">
        <f t="shared" si="84"/>
        <v>1348877.5699999998</v>
      </c>
      <c r="AX23" s="87">
        <f t="shared" si="84"/>
        <v>1273779.3599999999</v>
      </c>
      <c r="AY23" s="87">
        <f t="shared" ref="AY23:BF23" si="85">AY24+AY30</f>
        <v>1248680.6200000001</v>
      </c>
      <c r="AZ23" s="75">
        <f t="shared" si="85"/>
        <v>1332157.5699999998</v>
      </c>
      <c r="BA23" s="75">
        <f t="shared" si="85"/>
        <v>1309567.93</v>
      </c>
      <c r="BB23" s="75">
        <f t="shared" si="85"/>
        <v>1280942.6299999999</v>
      </c>
      <c r="BC23" s="75">
        <f t="shared" si="85"/>
        <v>1330156.46</v>
      </c>
      <c r="BD23" s="75">
        <f t="shared" si="85"/>
        <v>1336460.52</v>
      </c>
      <c r="BE23" s="84">
        <f t="shared" si="85"/>
        <v>1249991.9099999999</v>
      </c>
      <c r="BF23" s="84">
        <f t="shared" si="85"/>
        <v>1294109.96</v>
      </c>
      <c r="BG23" s="84">
        <f t="shared" ref="BG23:BL23" si="86">BG24+BG30</f>
        <v>1255361.1800000002</v>
      </c>
      <c r="BH23" s="122">
        <f t="shared" si="86"/>
        <v>1226710.01</v>
      </c>
      <c r="BI23" s="122">
        <f t="shared" si="86"/>
        <v>1299876.3099999998</v>
      </c>
      <c r="BJ23" s="122">
        <f t="shared" si="86"/>
        <v>1260541.3999999999</v>
      </c>
      <c r="BK23" s="122">
        <f t="shared" si="86"/>
        <v>1246281.79</v>
      </c>
      <c r="BL23" s="122">
        <f t="shared" si="86"/>
        <v>1318028.97</v>
      </c>
      <c r="BM23" s="122">
        <f t="shared" ref="BM23:BS23" si="87">BM24+BM30</f>
        <v>1320057.9699532001</v>
      </c>
      <c r="BN23" s="122">
        <f t="shared" si="87"/>
        <v>1284671.8399999999</v>
      </c>
      <c r="BO23" s="122">
        <f t="shared" si="87"/>
        <v>1351858.9200000002</v>
      </c>
      <c r="BP23" s="122">
        <f t="shared" si="87"/>
        <v>1359536.8719199998</v>
      </c>
      <c r="BQ23" s="122">
        <f t="shared" si="87"/>
        <v>1294020.51</v>
      </c>
      <c r="BR23" s="122">
        <f t="shared" si="87"/>
        <v>1305847.9400000002</v>
      </c>
      <c r="BS23" s="122">
        <f t="shared" si="87"/>
        <v>1348908.23</v>
      </c>
      <c r="BT23" s="122">
        <f t="shared" ref="BT23:BU23" si="88">BT24+BT30</f>
        <v>1309502.03</v>
      </c>
      <c r="BU23" s="122">
        <f t="shared" si="88"/>
        <v>1365516.95</v>
      </c>
      <c r="BV23" s="122">
        <f t="shared" ref="BV23" si="89">BV24+BV30</f>
        <v>1383403.06</v>
      </c>
      <c r="BW23" s="122">
        <f t="shared" ref="BW23:CB23" si="90">BW24+BW30</f>
        <v>1357335.5104400001</v>
      </c>
      <c r="BX23" s="122">
        <f t="shared" si="90"/>
        <v>1435682.86</v>
      </c>
      <c r="BY23" s="122">
        <f t="shared" si="90"/>
        <v>1387173.15</v>
      </c>
      <c r="BZ23" s="122">
        <f t="shared" si="90"/>
        <v>1379498.44</v>
      </c>
      <c r="CA23" s="122">
        <f t="shared" si="90"/>
        <v>1427882.04</v>
      </c>
      <c r="CB23" s="122">
        <f t="shared" si="90"/>
        <v>1401609.8199999998</v>
      </c>
      <c r="CC23" s="122">
        <f t="shared" ref="CC23" si="91">CC24+CC30</f>
        <v>1352746.2711099999</v>
      </c>
      <c r="CD23" s="122">
        <f>CD24+CD30</f>
        <v>1426752.0783299999</v>
      </c>
      <c r="CE23" s="122">
        <f>CE24+CE30</f>
        <v>1432061.33</v>
      </c>
      <c r="CF23" s="122">
        <f>CF24+CF30</f>
        <v>1421286.6343200002</v>
      </c>
      <c r="CG23" s="122">
        <f>CG24+CG30</f>
        <v>1400399.97596</v>
      </c>
    </row>
    <row r="24" spans="1:86" x14ac:dyDescent="0.25">
      <c r="A24" s="27" t="s">
        <v>78</v>
      </c>
      <c r="B24" s="32" t="s">
        <v>36</v>
      </c>
      <c r="C24" s="29" t="s">
        <v>54</v>
      </c>
      <c r="D24" s="5">
        <f t="shared" ref="D24:O24" si="92">SUM(D25:D29)</f>
        <v>77695.080780000004</v>
      </c>
      <c r="E24" s="3">
        <f t="shared" si="92"/>
        <v>75607.229530000011</v>
      </c>
      <c r="F24" s="3">
        <f t="shared" si="92"/>
        <v>41540.734320000003</v>
      </c>
      <c r="G24" s="3">
        <f t="shared" si="92"/>
        <v>24411.99222</v>
      </c>
      <c r="H24" s="3">
        <f t="shared" si="92"/>
        <v>41956.486799999999</v>
      </c>
      <c r="I24" s="3">
        <f t="shared" si="92"/>
        <v>39288.248999999996</v>
      </c>
      <c r="J24" s="3">
        <f t="shared" si="92"/>
        <v>34248.642940000005</v>
      </c>
      <c r="K24" s="3">
        <f t="shared" si="92"/>
        <v>30978.435600000001</v>
      </c>
      <c r="L24" s="3">
        <f t="shared" si="92"/>
        <v>39303.455999999998</v>
      </c>
      <c r="M24" s="3">
        <f t="shared" si="92"/>
        <v>32616.648960000002</v>
      </c>
      <c r="N24" s="3">
        <f t="shared" si="92"/>
        <v>39455.742359999997</v>
      </c>
      <c r="O24" s="3">
        <f t="shared" si="92"/>
        <v>3954.1640400000001</v>
      </c>
      <c r="P24" s="71">
        <f t="shared" ref="P24:W24" si="93">SUM(P25:P29)</f>
        <v>4655.22498</v>
      </c>
      <c r="Q24" s="71">
        <f t="shared" si="93"/>
        <v>5731.2872699999998</v>
      </c>
      <c r="R24" s="71">
        <f t="shared" si="93"/>
        <v>5927.3861499999994</v>
      </c>
      <c r="S24" s="71">
        <f t="shared" si="93"/>
        <v>5796.3655600000002</v>
      </c>
      <c r="T24" s="71">
        <f t="shared" si="93"/>
        <v>5919.3732799999998</v>
      </c>
      <c r="U24" s="63">
        <f t="shared" si="93"/>
        <v>6003.0547200000001</v>
      </c>
      <c r="V24" s="63">
        <f t="shared" si="93"/>
        <v>6339.124240000001</v>
      </c>
      <c r="W24" s="63">
        <f t="shared" si="93"/>
        <v>6490.666729999999</v>
      </c>
      <c r="X24" s="63">
        <f t="shared" ref="X24:AA24" si="94">SUM(X25:X29)</f>
        <v>17082.573200000003</v>
      </c>
      <c r="Y24" s="63">
        <f t="shared" si="94"/>
        <v>16814.76801</v>
      </c>
      <c r="Z24" s="63">
        <f t="shared" si="94"/>
        <v>16257.843622999999</v>
      </c>
      <c r="AA24" s="63">
        <f t="shared" si="94"/>
        <v>16145.160255999999</v>
      </c>
      <c r="AB24" s="63">
        <f t="shared" ref="AB24:AC24" si="95">SUM(AB25:AB29)</f>
        <v>15440.139252000001</v>
      </c>
      <c r="AC24" s="63">
        <f t="shared" si="95"/>
        <v>15539.229419999998</v>
      </c>
      <c r="AD24" s="63">
        <f t="shared" ref="AD24:AJ24" si="96">SUM(AD25:AD29)</f>
        <v>5289.1213360000002</v>
      </c>
      <c r="AE24" s="63">
        <f t="shared" si="96"/>
        <v>5282.6434000000008</v>
      </c>
      <c r="AF24" s="63">
        <f t="shared" si="96"/>
        <v>7130.5630000000001</v>
      </c>
      <c r="AG24" s="63">
        <f t="shared" si="96"/>
        <v>6820.2749999999996</v>
      </c>
      <c r="AH24" s="63">
        <f t="shared" si="96"/>
        <v>5969.7509199999995</v>
      </c>
      <c r="AI24" s="63">
        <f t="shared" si="96"/>
        <v>6530.8766599999999</v>
      </c>
      <c r="AJ24" s="63">
        <f t="shared" si="96"/>
        <v>6725.0215199999993</v>
      </c>
      <c r="AK24" s="63">
        <f t="shared" ref="AK24:AL24" si="97">SUM(AK25:AK29)</f>
        <v>6971.49496</v>
      </c>
      <c r="AL24" s="63">
        <f t="shared" si="97"/>
        <v>6369.2561399999995</v>
      </c>
      <c r="AM24" s="63">
        <f t="shared" ref="AM24" si="98">SUM(AM25:AM29)</f>
        <v>18494.597999999998</v>
      </c>
      <c r="AN24" s="63">
        <v>6867.6</v>
      </c>
      <c r="AO24" s="74">
        <v>6599.7690000000002</v>
      </c>
      <c r="AP24" s="75">
        <f>SUM(AP25:AP29)</f>
        <v>18196.661670000001</v>
      </c>
      <c r="AQ24" s="75">
        <f>SUM(AQ25:AQ29)</f>
        <v>18352.567150000003</v>
      </c>
      <c r="AR24" s="75">
        <v>17579.120039999998</v>
      </c>
      <c r="AS24" s="87">
        <f t="shared" ref="AS24:AX24" si="99">SUM(AS25:AS29)</f>
        <v>16977.620220000004</v>
      </c>
      <c r="AT24" s="75">
        <f t="shared" si="99"/>
        <v>15842.89</v>
      </c>
      <c r="AU24" s="75">
        <f t="shared" si="99"/>
        <v>15501.210000000001</v>
      </c>
      <c r="AV24" s="101">
        <f t="shared" si="99"/>
        <v>15351.49</v>
      </c>
      <c r="AW24" s="101">
        <f t="shared" si="99"/>
        <v>16100.630000000001</v>
      </c>
      <c r="AX24" s="87">
        <f t="shared" si="99"/>
        <v>15031.699999999999</v>
      </c>
      <c r="AY24" s="87">
        <f t="shared" ref="AY24:BF24" si="100">SUM(AY25:AY29)</f>
        <v>14278.08</v>
      </c>
      <c r="AZ24" s="75">
        <f t="shared" si="100"/>
        <v>14845.69</v>
      </c>
      <c r="BA24" s="75">
        <f t="shared" si="100"/>
        <v>17479.22</v>
      </c>
      <c r="BB24" s="75">
        <f t="shared" si="100"/>
        <v>5753.9</v>
      </c>
      <c r="BC24" s="75">
        <f t="shared" si="100"/>
        <v>6954.51</v>
      </c>
      <c r="BD24" s="75">
        <f t="shared" si="100"/>
        <v>6689.33</v>
      </c>
      <c r="BE24" s="84">
        <f t="shared" si="100"/>
        <v>6122.71</v>
      </c>
      <c r="BF24" s="84">
        <f t="shared" si="100"/>
        <v>6319.48</v>
      </c>
      <c r="BG24" s="84">
        <f t="shared" ref="BG24:BH24" si="101">SUM(BG25:BG29)</f>
        <v>5758.6100000000006</v>
      </c>
      <c r="BH24" s="122">
        <f t="shared" si="101"/>
        <v>5687.21</v>
      </c>
      <c r="BI24" s="122">
        <f t="shared" ref="BI24:BJ24" si="102">SUM(BI25:BI29)</f>
        <v>6234.89</v>
      </c>
      <c r="BJ24" s="122">
        <f t="shared" si="102"/>
        <v>5986.79</v>
      </c>
      <c r="BK24" s="122">
        <f t="shared" ref="BK24" si="103">SUM(BK25:BK29)</f>
        <v>4271.58</v>
      </c>
      <c r="BL24" s="122">
        <f t="shared" ref="BL24:BQ24" si="104">SUM(BL25:BL29)</f>
        <v>4016.9400000000005</v>
      </c>
      <c r="BM24" s="122">
        <f t="shared" si="104"/>
        <v>1822.29</v>
      </c>
      <c r="BN24" s="122">
        <f t="shared" si="104"/>
        <v>1764.1399999999999</v>
      </c>
      <c r="BO24" s="122">
        <f t="shared" si="104"/>
        <v>2502.5299999999997</v>
      </c>
      <c r="BP24" s="122">
        <f t="shared" si="104"/>
        <v>2522.9700000000003</v>
      </c>
      <c r="BQ24" s="122">
        <f t="shared" si="104"/>
        <v>2429.9899999999998</v>
      </c>
      <c r="BR24" s="122">
        <f t="shared" ref="BR24:BS24" si="105">SUM(BR25:BR29)</f>
        <v>2599.0500000000002</v>
      </c>
      <c r="BS24" s="122">
        <f t="shared" si="105"/>
        <v>2084.2999999999997</v>
      </c>
      <c r="BT24" s="122">
        <f t="shared" ref="BT24:BU24" si="106">SUM(BT25:BT29)</f>
        <v>2416.48</v>
      </c>
      <c r="BU24" s="122">
        <f t="shared" si="106"/>
        <v>2109.5500000000002</v>
      </c>
      <c r="BV24" s="122">
        <f t="shared" ref="BV24:BW24" si="107">SUM(BV25:BV29)</f>
        <v>2081.5899999999997</v>
      </c>
      <c r="BW24" s="122">
        <f t="shared" si="107"/>
        <v>2162.0756799999999</v>
      </c>
      <c r="BX24" s="122">
        <f t="shared" ref="BX24:BY24" si="108">SUM(BX25:BX29)</f>
        <v>2206.6</v>
      </c>
      <c r="BY24" s="122">
        <f t="shared" si="108"/>
        <v>2099.9</v>
      </c>
      <c r="BZ24" s="122">
        <f t="shared" ref="BZ24:CA24" si="109">SUM(BZ25:BZ29)</f>
        <v>1797.9399999999998</v>
      </c>
      <c r="CA24" s="122">
        <f t="shared" si="109"/>
        <v>1545.87</v>
      </c>
      <c r="CB24" s="122">
        <f t="shared" ref="CB24:CC24" si="110">SUM(CB25:CB29)</f>
        <v>1501.1389999999999</v>
      </c>
      <c r="CC24" s="122">
        <f t="shared" si="110"/>
        <v>1384.0945400000001</v>
      </c>
      <c r="CD24" s="122">
        <f t="shared" ref="CD24:CE24" si="111">SUM(CD25:CD29)</f>
        <v>1494.3235199999999</v>
      </c>
      <c r="CE24" s="122">
        <f t="shared" si="111"/>
        <v>1441.38</v>
      </c>
      <c r="CF24" s="122">
        <f t="shared" ref="CF24:CG24" si="112">SUM(CF25:CF29)</f>
        <v>930.52679999999987</v>
      </c>
      <c r="CG24" s="122">
        <f t="shared" si="112"/>
        <v>1272.1770899999999</v>
      </c>
    </row>
    <row r="25" spans="1:86" x14ac:dyDescent="0.25">
      <c r="A25" s="27" t="s">
        <v>79</v>
      </c>
      <c r="B25" s="31" t="s">
        <v>37</v>
      </c>
      <c r="C25" s="29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61">
        <f>27.3*123.1541</f>
        <v>3362.1069299999999</v>
      </c>
      <c r="Q25" s="61">
        <f>33.5*125.4111</f>
        <v>4201.2718500000001</v>
      </c>
      <c r="R25" s="61">
        <f>33.3*126.3835</f>
        <v>4208.5705499999995</v>
      </c>
      <c r="S25" s="61">
        <f>33.2*126.5582</f>
        <v>4201.7322400000003</v>
      </c>
      <c r="T25" s="61">
        <f>33.7*127.5727</f>
        <v>4299.1999900000001</v>
      </c>
      <c r="U25" s="62">
        <f>30.7*128.2704</f>
        <v>3937.9012799999996</v>
      </c>
      <c r="V25" s="62">
        <f>27.2*129.1064</f>
        <v>3511.6940800000002</v>
      </c>
      <c r="W25" s="62">
        <f>28.2*129.0391</f>
        <v>3638.9026199999998</v>
      </c>
      <c r="X25" s="62">
        <f>28.4*128.4404</f>
        <v>3647.7073600000003</v>
      </c>
      <c r="Y25" s="62">
        <f>26.9*128.2591</f>
        <v>3450.1697899999995</v>
      </c>
      <c r="Z25" s="62">
        <f>26.1*128.1053</f>
        <v>3343.5483300000001</v>
      </c>
      <c r="AA25" s="62">
        <f>26.12*128.6672</f>
        <v>3360.7872640000005</v>
      </c>
      <c r="AB25" s="62">
        <f>26.12*129.4011</f>
        <v>3379.9567320000006</v>
      </c>
      <c r="AC25" s="62">
        <f>25.6*130.1443</f>
        <v>3331.6940799999998</v>
      </c>
      <c r="AD25" s="62">
        <f>25.3*128.6288</f>
        <v>3254.3086400000002</v>
      </c>
      <c r="AE25" s="62">
        <f>25.17*128.2195</f>
        <v>3227.2848150000004</v>
      </c>
      <c r="AF25" s="62">
        <f>25.2*129.6466</f>
        <v>3267.0943200000002</v>
      </c>
      <c r="AG25" s="62">
        <f>25.2*129.91</f>
        <v>3273.732</v>
      </c>
      <c r="AH25" s="62">
        <f>26.2*127.2868</f>
        <v>3334.9141599999998</v>
      </c>
      <c r="AI25" s="62">
        <f>31*126.0787</f>
        <v>3908.4396999999999</v>
      </c>
      <c r="AJ25" s="62">
        <f>30.4*125.0004</f>
        <v>3800.0121599999998</v>
      </c>
      <c r="AK25" s="62">
        <f>27.5*125.3866</f>
        <v>3448.1315</v>
      </c>
      <c r="AL25" s="62">
        <f>28.7*128.154</f>
        <v>3678.0198</v>
      </c>
      <c r="AM25" s="62">
        <f>28.3*125.985</f>
        <v>3565.3755000000001</v>
      </c>
      <c r="AN25" s="62">
        <v>3659.38</v>
      </c>
      <c r="AO25" s="33">
        <v>3376.6259999999997</v>
      </c>
      <c r="AP25" s="52">
        <v>3442.3435199999994</v>
      </c>
      <c r="AQ25" s="77">
        <v>3575.7031200000001</v>
      </c>
      <c r="AR25" s="77">
        <v>3507.5708999999997</v>
      </c>
      <c r="AS25" s="8">
        <v>3295.5762400000003</v>
      </c>
      <c r="AT25" s="8">
        <v>3137.72</v>
      </c>
      <c r="AU25" s="8">
        <v>2849.77</v>
      </c>
      <c r="AV25" s="102">
        <v>3039.65</v>
      </c>
      <c r="AW25" s="102">
        <v>3225.57</v>
      </c>
      <c r="AX25" s="85">
        <v>3052.71</v>
      </c>
      <c r="AY25" s="85">
        <v>2162.58</v>
      </c>
      <c r="AZ25" s="53">
        <v>2307.83</v>
      </c>
      <c r="BA25" s="53">
        <v>2231.39</v>
      </c>
      <c r="BB25" s="53">
        <v>2201.9499999999998</v>
      </c>
      <c r="BC25" s="53">
        <v>2227.08</v>
      </c>
      <c r="BD25" s="53">
        <v>2726.4</v>
      </c>
      <c r="BE25" s="52">
        <v>2757.25</v>
      </c>
      <c r="BF25" s="52">
        <v>2872.49</v>
      </c>
      <c r="BG25" s="52">
        <v>2566.9299999999998</v>
      </c>
      <c r="BH25" s="120">
        <v>2744.18</v>
      </c>
      <c r="BI25" s="120">
        <v>2933.15</v>
      </c>
      <c r="BJ25" s="120">
        <v>2890.65</v>
      </c>
      <c r="BK25" s="120">
        <v>1225.29</v>
      </c>
      <c r="BL25" s="120">
        <v>814.82</v>
      </c>
      <c r="BM25" s="120">
        <v>817.88</v>
      </c>
      <c r="BN25" s="120">
        <v>798.06</v>
      </c>
      <c r="BO25" s="120">
        <v>1565.04</v>
      </c>
      <c r="BP25" s="120">
        <v>1582.45</v>
      </c>
      <c r="BQ25" s="120">
        <v>1534.73</v>
      </c>
      <c r="BR25" s="120">
        <v>1742.38</v>
      </c>
      <c r="BS25" s="120">
        <v>1776.06</v>
      </c>
      <c r="BT25" s="120">
        <v>1560.58</v>
      </c>
      <c r="BU25" s="120">
        <v>1256.75</v>
      </c>
      <c r="BV25" s="120">
        <v>1200.33</v>
      </c>
      <c r="BW25" s="120">
        <v>1143.3341399999999</v>
      </c>
      <c r="BX25" s="120">
        <v>1157.31</v>
      </c>
      <c r="BY25" s="120">
        <v>1118.6500000000001</v>
      </c>
      <c r="BZ25" s="119">
        <v>1104.07</v>
      </c>
      <c r="CA25" s="119">
        <v>726.56</v>
      </c>
      <c r="CB25" s="119">
        <v>717.87</v>
      </c>
      <c r="CC25" s="119">
        <v>662.59844999999996</v>
      </c>
      <c r="CD25" s="119">
        <v>669.33240999999998</v>
      </c>
      <c r="CE25" s="119">
        <v>673.69</v>
      </c>
      <c r="CF25" s="119">
        <v>480.77217999999999</v>
      </c>
      <c r="CG25" s="119">
        <v>628.23559999999998</v>
      </c>
    </row>
    <row r="26" spans="1:86" x14ac:dyDescent="0.25">
      <c r="A26" s="27" t="s">
        <v>80</v>
      </c>
      <c r="B26" s="31" t="s">
        <v>38</v>
      </c>
      <c r="C26" s="29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61">
        <f>10.5*123.1541</f>
        <v>1293.11805</v>
      </c>
      <c r="Q26" s="61">
        <f>12.2*125.4111</f>
        <v>1530.0154199999999</v>
      </c>
      <c r="R26" s="61">
        <f>12.1*126.3835</f>
        <v>1529.24035</v>
      </c>
      <c r="S26" s="61">
        <f>11.1*126.5582</f>
        <v>1404.79602</v>
      </c>
      <c r="T26" s="61">
        <f>11.1*127.5727</f>
        <v>1416.0569699999999</v>
      </c>
      <c r="U26" s="62">
        <f>14.5*128.2704</f>
        <v>1859.9207999999999</v>
      </c>
      <c r="V26" s="62">
        <f>10*129.1064</f>
        <v>1291.0640000000001</v>
      </c>
      <c r="W26" s="62">
        <f>10.3*129.0391</f>
        <v>1329.1027300000001</v>
      </c>
      <c r="X26" s="62">
        <f>10.2*128.4404</f>
        <v>1310.0920800000001</v>
      </c>
      <c r="Y26" s="62">
        <f>10.2*128.2591</f>
        <v>1308.2428199999997</v>
      </c>
      <c r="Z26" s="62">
        <f>7*128.1053</f>
        <v>896.73710000000005</v>
      </c>
      <c r="AA26" s="62">
        <f>4.27*128.6672</f>
        <v>549.40894400000002</v>
      </c>
      <c r="AB26" s="62">
        <f>3.1*129.4011</f>
        <v>401.14341000000007</v>
      </c>
      <c r="AC26" s="62">
        <f>3.4*130.1443</f>
        <v>442.49061999999992</v>
      </c>
      <c r="AD26" s="62">
        <f>3.42*128.6228</f>
        <v>439.88997600000005</v>
      </c>
      <c r="AE26" s="62">
        <f>3.42*128.2195</f>
        <v>438.51069000000001</v>
      </c>
      <c r="AF26" s="62">
        <f>17.2*129.6466</f>
        <v>2229.9215199999999</v>
      </c>
      <c r="AG26" s="62">
        <f>15.7*129.91</f>
        <v>2039.5869999999998</v>
      </c>
      <c r="AH26" s="62">
        <f>15.7*127.2868</f>
        <v>1998.4027599999999</v>
      </c>
      <c r="AI26" s="62">
        <f>15.8*126.0787</f>
        <v>1992.0434600000001</v>
      </c>
      <c r="AJ26" s="62">
        <f>15.8*125.0004</f>
        <v>1975.0063200000002</v>
      </c>
      <c r="AK26" s="62">
        <f>20.2*125.3866</f>
        <v>2532.8093199999998</v>
      </c>
      <c r="AL26" s="62">
        <f>13.2*128.154</f>
        <v>1691.6327999999999</v>
      </c>
      <c r="AM26" s="62">
        <f>12.4*125.985</f>
        <v>1562.2139999999999</v>
      </c>
      <c r="AN26" s="62">
        <v>1566.51</v>
      </c>
      <c r="AO26" s="33">
        <v>1573.2007500000002</v>
      </c>
      <c r="AP26" s="52">
        <v>1603.8191400000001</v>
      </c>
      <c r="AQ26" s="77">
        <v>1665.9525900000001</v>
      </c>
      <c r="AR26" s="77">
        <v>756.53489999999988</v>
      </c>
      <c r="AS26" s="8">
        <v>607.79070000000002</v>
      </c>
      <c r="AT26" s="8">
        <v>668.69</v>
      </c>
      <c r="AU26" s="8">
        <v>690.08</v>
      </c>
      <c r="AV26" s="102">
        <v>727.98</v>
      </c>
      <c r="AW26" s="102">
        <v>449.13</v>
      </c>
      <c r="AX26" s="14">
        <v>218.97</v>
      </c>
      <c r="AY26" s="14">
        <v>569.1</v>
      </c>
      <c r="AZ26" s="53">
        <v>634.32000000000005</v>
      </c>
      <c r="BA26" s="53">
        <v>624.26</v>
      </c>
      <c r="BB26" s="53">
        <v>655.34</v>
      </c>
      <c r="BC26" s="53">
        <v>983.74</v>
      </c>
      <c r="BD26" s="53">
        <v>988.67</v>
      </c>
      <c r="BE26" s="8">
        <v>527.12</v>
      </c>
      <c r="BF26" s="8">
        <v>448.39</v>
      </c>
      <c r="BG26" s="8">
        <v>1738.45</v>
      </c>
      <c r="BH26" s="119">
        <v>1551.06</v>
      </c>
      <c r="BI26" s="119">
        <v>1779.38</v>
      </c>
      <c r="BJ26" s="119">
        <v>1630.27</v>
      </c>
      <c r="BK26" s="119">
        <v>1624.69</v>
      </c>
      <c r="BL26" s="119">
        <v>1701.13</v>
      </c>
      <c r="BM26" s="119">
        <v>1004.41</v>
      </c>
      <c r="BN26" s="119">
        <v>966.08</v>
      </c>
      <c r="BO26" s="119">
        <v>937.49</v>
      </c>
      <c r="BP26" s="119">
        <v>940.52</v>
      </c>
      <c r="BQ26" s="119">
        <v>895.26</v>
      </c>
      <c r="BR26" s="119">
        <v>856.67</v>
      </c>
      <c r="BS26" s="119">
        <v>132.1</v>
      </c>
      <c r="BT26" s="119">
        <v>684.72</v>
      </c>
      <c r="BU26" s="119">
        <v>673.26</v>
      </c>
      <c r="BV26" s="119">
        <v>698.93</v>
      </c>
      <c r="BW26" s="119">
        <v>850.17153999999994</v>
      </c>
      <c r="BX26" s="119">
        <v>879.55</v>
      </c>
      <c r="BY26" s="119">
        <v>911.05</v>
      </c>
      <c r="BZ26" s="119">
        <v>623.77</v>
      </c>
      <c r="CA26" s="119">
        <v>742.02</v>
      </c>
      <c r="CB26" s="119">
        <v>711.78599999999994</v>
      </c>
      <c r="CC26" s="119">
        <v>647.87404000000004</v>
      </c>
      <c r="CD26" s="119">
        <v>747.16176000000007</v>
      </c>
      <c r="CE26" s="119">
        <v>767.69</v>
      </c>
      <c r="CF26" s="119">
        <v>449.75461999999993</v>
      </c>
      <c r="CG26" s="119">
        <v>643.94148999999993</v>
      </c>
    </row>
    <row r="27" spans="1:86" x14ac:dyDescent="0.25">
      <c r="A27" s="27" t="s">
        <v>81</v>
      </c>
      <c r="B27" s="31" t="s">
        <v>39</v>
      </c>
      <c r="C27" s="29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61">
        <f>0</f>
        <v>0</v>
      </c>
      <c r="Q27" s="61">
        <f>0</f>
        <v>0</v>
      </c>
      <c r="R27" s="61">
        <f>1.5*126.3835</f>
        <v>189.57524999999998</v>
      </c>
      <c r="S27" s="61">
        <f>1.5*126.5582</f>
        <v>189.8373</v>
      </c>
      <c r="T27" s="61">
        <f>1.6*127.5727</f>
        <v>204.11632</v>
      </c>
      <c r="U27" s="62">
        <f>1.6*128.2704</f>
        <v>205.23264</v>
      </c>
      <c r="V27" s="62">
        <f>11.9*129.1064</f>
        <v>1536.36616</v>
      </c>
      <c r="W27" s="62">
        <f>11.8*129.0391</f>
        <v>1522.66138</v>
      </c>
      <c r="X27" s="62">
        <f>15.4*128.4404</f>
        <v>1977.9821600000002</v>
      </c>
      <c r="Y27" s="62">
        <f>15.7*128.2591</f>
        <v>2013.6678699999998</v>
      </c>
      <c r="Z27" s="62">
        <f>15.51*128.1053</f>
        <v>1986.9132030000001</v>
      </c>
      <c r="AA27" s="62">
        <f>16.04*128.6672</f>
        <v>2063.8218879999999</v>
      </c>
      <c r="AB27" s="62">
        <f>11.1*129.4011</f>
        <v>1436.35221</v>
      </c>
      <c r="AC27" s="62">
        <f>11.4*130.1443</f>
        <v>1483.6450199999999</v>
      </c>
      <c r="AD27" s="62">
        <f>12.4*128.6228</f>
        <v>1594.9227200000003</v>
      </c>
      <c r="AE27" s="62">
        <f>12.61*128.2195</f>
        <v>1616.8478950000001</v>
      </c>
      <c r="AF27" s="62">
        <f>12.6*129.6466</f>
        <v>1633.5471600000001</v>
      </c>
      <c r="AG27" s="62">
        <f>11.6*129.91</f>
        <v>1506.9559999999999</v>
      </c>
      <c r="AH27" s="62">
        <f>5*127.2868</f>
        <v>636.43399999999997</v>
      </c>
      <c r="AI27" s="62">
        <f>5*126.0787</f>
        <v>630.39350000000002</v>
      </c>
      <c r="AJ27" s="62">
        <f>7.6*125.0004</f>
        <v>950.00303999999994</v>
      </c>
      <c r="AK27" s="62">
        <f>7.9*125.3866</f>
        <v>990.55414000000007</v>
      </c>
      <c r="AL27" s="62">
        <f>7.8*128.1543</f>
        <v>999.60354000000007</v>
      </c>
      <c r="AM27" s="62">
        <f>6.8*125.985</f>
        <v>856.69799999999998</v>
      </c>
      <c r="AN27" s="62">
        <v>1641.71</v>
      </c>
      <c r="AO27" s="33">
        <v>1649.9422500000001</v>
      </c>
      <c r="AP27" s="52">
        <v>1649.9422500000001</v>
      </c>
      <c r="AQ27" s="77">
        <v>1164.8123800000001</v>
      </c>
      <c r="AR27" s="77">
        <v>1182.9454799999999</v>
      </c>
      <c r="AS27" s="8">
        <v>1161.55556</v>
      </c>
      <c r="AT27" s="8">
        <v>694.41</v>
      </c>
      <c r="AU27" s="8">
        <v>690.08</v>
      </c>
      <c r="AV27" s="102">
        <v>319.29000000000002</v>
      </c>
      <c r="AW27" s="102">
        <v>421.91</v>
      </c>
      <c r="AX27" s="83">
        <v>399.3</v>
      </c>
      <c r="AY27" s="83">
        <v>392.05</v>
      </c>
      <c r="AZ27" s="53">
        <v>0</v>
      </c>
      <c r="BA27" s="53">
        <v>2908.78</v>
      </c>
      <c r="BB27" s="53">
        <v>2896.61</v>
      </c>
      <c r="BC27" s="53">
        <v>3743.69</v>
      </c>
      <c r="BD27" s="53">
        <v>2974.26</v>
      </c>
      <c r="BE27" s="8">
        <v>2838.34</v>
      </c>
      <c r="BF27" s="8">
        <v>2998.6</v>
      </c>
      <c r="BG27" s="8">
        <v>1453.23</v>
      </c>
      <c r="BH27" s="119">
        <v>1391.97</v>
      </c>
      <c r="BI27" s="119">
        <v>1522.36</v>
      </c>
      <c r="BJ27" s="119">
        <v>1465.87</v>
      </c>
      <c r="BK27" s="119">
        <v>1421.6</v>
      </c>
      <c r="BL27" s="119">
        <v>1500.99</v>
      </c>
      <c r="BM27" s="119">
        <v>0</v>
      </c>
      <c r="BN27" s="119">
        <v>0</v>
      </c>
      <c r="BO27" s="119">
        <v>0</v>
      </c>
      <c r="BP27" s="119">
        <v>0</v>
      </c>
      <c r="BQ27" s="119">
        <v>0</v>
      </c>
      <c r="BR27" s="119">
        <v>0</v>
      </c>
      <c r="BS27" s="119">
        <v>0</v>
      </c>
      <c r="BT27" s="119">
        <v>0</v>
      </c>
      <c r="BU27" s="119">
        <v>0</v>
      </c>
      <c r="BV27" s="119">
        <v>0</v>
      </c>
      <c r="BW27" s="119">
        <v>0</v>
      </c>
      <c r="BX27" s="119">
        <v>0</v>
      </c>
      <c r="BY27" s="119">
        <v>0</v>
      </c>
      <c r="BZ27" s="119">
        <v>0</v>
      </c>
      <c r="CA27" s="119">
        <v>0</v>
      </c>
      <c r="CB27" s="119">
        <v>0</v>
      </c>
      <c r="CC27" s="119">
        <v>0</v>
      </c>
      <c r="CD27" s="119">
        <v>0</v>
      </c>
      <c r="CE27" s="119">
        <v>0</v>
      </c>
      <c r="CF27" s="119">
        <v>0</v>
      </c>
      <c r="CG27" s="119">
        <v>0</v>
      </c>
    </row>
    <row r="28" spans="1:86" x14ac:dyDescent="0.25">
      <c r="A28" s="27" t="s">
        <v>82</v>
      </c>
      <c r="B28" s="31" t="s">
        <v>40</v>
      </c>
      <c r="C28" s="29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6">
        <v>0</v>
      </c>
      <c r="AF28" s="66">
        <v>0</v>
      </c>
      <c r="AG28" s="66">
        <v>0</v>
      </c>
      <c r="AH28" s="66">
        <v>0</v>
      </c>
      <c r="AI28" s="65">
        <f>0*126.0787</f>
        <v>0</v>
      </c>
      <c r="AJ28" s="65">
        <f>0*125.0004</f>
        <v>0</v>
      </c>
      <c r="AK28" s="65">
        <f>0*1253866</f>
        <v>0</v>
      </c>
      <c r="AL28" s="62">
        <f>0*128.154</f>
        <v>0</v>
      </c>
      <c r="AM28" s="62">
        <f>0*125.985</f>
        <v>0</v>
      </c>
      <c r="AN28" s="62">
        <v>0</v>
      </c>
      <c r="AO28" s="62">
        <v>0</v>
      </c>
      <c r="AP28" s="62">
        <v>0</v>
      </c>
      <c r="AQ28" s="73">
        <v>0</v>
      </c>
      <c r="AR28" s="73">
        <v>0</v>
      </c>
      <c r="AS28" s="86">
        <v>0</v>
      </c>
      <c r="AT28" s="8">
        <v>0</v>
      </c>
      <c r="AU28" s="8">
        <v>0</v>
      </c>
      <c r="AV28" s="102">
        <v>0</v>
      </c>
      <c r="AW28" s="102">
        <v>0</v>
      </c>
      <c r="AX28" s="111">
        <v>0</v>
      </c>
      <c r="AY28" s="111">
        <v>0</v>
      </c>
      <c r="AZ28" s="53">
        <v>0</v>
      </c>
      <c r="BA28" s="53">
        <v>0</v>
      </c>
      <c r="BB28" s="53">
        <v>0</v>
      </c>
      <c r="BC28" s="53">
        <v>0</v>
      </c>
      <c r="BD28" s="53">
        <v>0</v>
      </c>
      <c r="BE28" s="52">
        <v>0</v>
      </c>
      <c r="BF28" s="52">
        <v>0</v>
      </c>
      <c r="BG28" s="52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</row>
    <row r="29" spans="1:86" x14ac:dyDescent="0.25">
      <c r="A29" s="27" t="s">
        <v>83</v>
      </c>
      <c r="B29" s="31" t="s">
        <v>41</v>
      </c>
      <c r="C29" s="29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2">
        <v>0</v>
      </c>
      <c r="V29" s="62">
        <v>0</v>
      </c>
      <c r="W29" s="62">
        <v>0</v>
      </c>
      <c r="X29" s="62">
        <f>79*128.4404</f>
        <v>10146.7916</v>
      </c>
      <c r="Y29" s="62">
        <f>78.3*128.2591</f>
        <v>10042.687529999999</v>
      </c>
      <c r="Z29" s="62">
        <f>78.3*128.1053</f>
        <v>10030.644989999999</v>
      </c>
      <c r="AA29" s="64">
        <f>79.05*128.6672</f>
        <v>10171.142159999999</v>
      </c>
      <c r="AB29" s="62">
        <f>79*129.4011</f>
        <v>10222.686900000001</v>
      </c>
      <c r="AC29" s="62">
        <f>79*130.1443</f>
        <v>10281.399699999998</v>
      </c>
      <c r="AD29" s="62">
        <v>0</v>
      </c>
      <c r="AE29" s="66">
        <v>0</v>
      </c>
      <c r="AF29" s="66">
        <v>0</v>
      </c>
      <c r="AG29" s="66">
        <v>0</v>
      </c>
      <c r="AH29" s="66">
        <v>0</v>
      </c>
      <c r="AI29" s="65">
        <f>0*126.0787</f>
        <v>0</v>
      </c>
      <c r="AJ29" s="65">
        <f>0*125.0004</f>
        <v>0</v>
      </c>
      <c r="AK29" s="65">
        <f>0*125.004</f>
        <v>0</v>
      </c>
      <c r="AL29" s="62">
        <f>0*128.154</f>
        <v>0</v>
      </c>
      <c r="AM29" s="62">
        <f>99.3*125.985</f>
        <v>12510.3105</v>
      </c>
      <c r="AN29" s="62">
        <v>0</v>
      </c>
      <c r="AO29" s="62">
        <v>0</v>
      </c>
      <c r="AP29" s="52">
        <v>11500.556759999999</v>
      </c>
      <c r="AQ29" s="73">
        <v>11946.09906</v>
      </c>
      <c r="AR29" s="73">
        <v>12132.068759999998</v>
      </c>
      <c r="AS29" s="8">
        <v>11912.697720000002</v>
      </c>
      <c r="AT29" s="8">
        <v>11342.07</v>
      </c>
      <c r="AU29" s="8">
        <v>11271.28</v>
      </c>
      <c r="AV29" s="102">
        <v>11264.57</v>
      </c>
      <c r="AW29" s="102">
        <v>12004.02</v>
      </c>
      <c r="AX29" s="111">
        <v>11360.72</v>
      </c>
      <c r="AY29" s="111">
        <v>11154.35</v>
      </c>
      <c r="AZ29" s="53">
        <v>11903.54</v>
      </c>
      <c r="BA29" s="53">
        <v>11714.79</v>
      </c>
      <c r="BB29" s="53">
        <v>0</v>
      </c>
      <c r="BC29" s="53">
        <v>0</v>
      </c>
      <c r="BD29" s="53">
        <v>0</v>
      </c>
      <c r="BE29" s="8">
        <v>0</v>
      </c>
      <c r="BF29" s="8">
        <v>0</v>
      </c>
      <c r="BG29" s="8">
        <v>0</v>
      </c>
      <c r="BH29" s="119">
        <v>0</v>
      </c>
      <c r="BI29" s="119">
        <v>0</v>
      </c>
      <c r="BJ29" s="119">
        <v>0</v>
      </c>
      <c r="BK29" s="119">
        <v>0</v>
      </c>
      <c r="BL29" s="119">
        <v>0</v>
      </c>
      <c r="BM29" s="119">
        <v>0</v>
      </c>
      <c r="BN29" s="119">
        <v>0</v>
      </c>
      <c r="BO29" s="119">
        <v>0</v>
      </c>
      <c r="BP29" s="119">
        <v>0</v>
      </c>
      <c r="BQ29" s="119">
        <v>0</v>
      </c>
      <c r="BR29" s="119">
        <v>0</v>
      </c>
      <c r="BS29" s="119">
        <v>176.14</v>
      </c>
      <c r="BT29" s="119">
        <v>171.18</v>
      </c>
      <c r="BU29" s="119">
        <v>179.54</v>
      </c>
      <c r="BV29" s="119">
        <v>182.33</v>
      </c>
      <c r="BW29" s="119">
        <v>168.57</v>
      </c>
      <c r="BX29" s="119">
        <v>169.74</v>
      </c>
      <c r="BY29" s="119">
        <v>70.2</v>
      </c>
      <c r="BZ29" s="119">
        <v>70.099999999999994</v>
      </c>
      <c r="CA29" s="119">
        <v>77.290000000000006</v>
      </c>
      <c r="CB29" s="119">
        <v>71.483000000000004</v>
      </c>
      <c r="CC29" s="119">
        <v>73.622050000000002</v>
      </c>
      <c r="CD29" s="119">
        <v>77.829350000000005</v>
      </c>
      <c r="CE29" s="119">
        <v>0</v>
      </c>
      <c r="CF29" s="119">
        <v>0</v>
      </c>
      <c r="CG29" s="119">
        <v>0</v>
      </c>
    </row>
    <row r="30" spans="1:86" x14ac:dyDescent="0.25">
      <c r="A30" s="27" t="s">
        <v>84</v>
      </c>
      <c r="B30" s="32" t="s">
        <v>32</v>
      </c>
      <c r="C30" s="29" t="s">
        <v>60</v>
      </c>
      <c r="D30" s="5">
        <f t="shared" ref="D30:O30" si="113">SUM(D31:D35)</f>
        <v>911095.67858999991</v>
      </c>
      <c r="E30" s="3">
        <f t="shared" si="113"/>
        <v>913429.62402999995</v>
      </c>
      <c r="F30" s="3">
        <f t="shared" si="113"/>
        <v>927606.58608000004</v>
      </c>
      <c r="G30" s="3">
        <f t="shared" si="113"/>
        <v>1168264.71474</v>
      </c>
      <c r="H30" s="3">
        <f t="shared" si="113"/>
        <v>1174545.9198000003</v>
      </c>
      <c r="I30" s="3">
        <f t="shared" si="113"/>
        <v>1188576.6820200002</v>
      </c>
      <c r="J30" s="3">
        <f t="shared" si="113"/>
        <v>1196677.30323</v>
      </c>
      <c r="K30" s="3">
        <f t="shared" si="113"/>
        <v>1194966.4684000001</v>
      </c>
      <c r="L30" s="3">
        <f t="shared" si="113"/>
        <v>1202656.8539999998</v>
      </c>
      <c r="M30" s="3">
        <f t="shared" si="113"/>
        <v>1212846.6940100002</v>
      </c>
      <c r="N30" s="3">
        <f t="shared" si="113"/>
        <v>1209809.5677</v>
      </c>
      <c r="O30" s="3">
        <f t="shared" si="113"/>
        <v>1248856.8093000003</v>
      </c>
      <c r="P30" s="71">
        <f t="shared" ref="P30:W30" si="114">SUM(P31:P35)</f>
        <v>1255863.93475</v>
      </c>
      <c r="Q30" s="71">
        <f t="shared" si="114"/>
        <v>1272885.0416700002</v>
      </c>
      <c r="R30" s="71">
        <f t="shared" si="114"/>
        <v>1286293.3479499999</v>
      </c>
      <c r="S30" s="71">
        <f t="shared" si="114"/>
        <v>1282616.7337199999</v>
      </c>
      <c r="T30" s="71">
        <f t="shared" si="114"/>
        <v>1303423.0331700002</v>
      </c>
      <c r="U30" s="63">
        <f t="shared" si="114"/>
        <v>1314207.2102399999</v>
      </c>
      <c r="V30" s="63">
        <f t="shared" si="114"/>
        <v>1316420.4969600001</v>
      </c>
      <c r="W30" s="63">
        <f t="shared" si="114"/>
        <v>1309785.5767299999</v>
      </c>
      <c r="X30" s="63">
        <f t="shared" ref="X30:Z30" si="115">SUM(X31:X35)</f>
        <v>1298660.8844000003</v>
      </c>
      <c r="Y30" s="63">
        <f t="shared" si="115"/>
        <v>1296827.7600999998</v>
      </c>
      <c r="Z30" s="63">
        <f t="shared" si="115"/>
        <v>1290148.4763000002</v>
      </c>
      <c r="AA30" s="63">
        <f t="shared" ref="AA30" si="116">SUM(AA31:AA35)</f>
        <v>1294195.2998512001</v>
      </c>
      <c r="AB30" s="63">
        <f t="shared" ref="AB30:AG30" si="117">SUM(AB31:AB35)</f>
        <v>1230006.6279180001</v>
      </c>
      <c r="AC30" s="63">
        <f t="shared" si="117"/>
        <v>1237464.0621199999</v>
      </c>
      <c r="AD30" s="63">
        <f t="shared" si="117"/>
        <v>1206916.4572640001</v>
      </c>
      <c r="AE30" s="63">
        <f t="shared" si="117"/>
        <v>1210425.41707</v>
      </c>
      <c r="AF30" s="63">
        <f t="shared" si="117"/>
        <v>1314823.9585600002</v>
      </c>
      <c r="AG30" s="63">
        <f t="shared" si="117"/>
        <v>1314767.1459999999</v>
      </c>
      <c r="AH30" s="63">
        <f t="shared" ref="AH30:AM30" si="118">SUM(AH31:AH35)</f>
        <v>1285545.7652799999</v>
      </c>
      <c r="AI30" s="63">
        <f t="shared" si="118"/>
        <v>1270570.7071199999</v>
      </c>
      <c r="AJ30" s="63">
        <f t="shared" si="118"/>
        <v>1256129.0195999998</v>
      </c>
      <c r="AK30" s="63">
        <f t="shared" si="118"/>
        <v>1261013.0362</v>
      </c>
      <c r="AL30" s="63">
        <f t="shared" si="118"/>
        <v>1286127.9108599997</v>
      </c>
      <c r="AM30" s="63">
        <f t="shared" si="118"/>
        <v>1252794.8399999999</v>
      </c>
      <c r="AN30" s="63">
        <v>1257296.47</v>
      </c>
      <c r="AO30" s="74">
        <v>1286072.42775</v>
      </c>
      <c r="AP30" s="75">
        <f>SUM(AP31:AP35)</f>
        <v>1277895.4644500001</v>
      </c>
      <c r="AQ30" s="75">
        <f>SUM(AQ31:AQ35)</f>
        <v>1326504.5899999999</v>
      </c>
      <c r="AR30" s="75">
        <v>1348241.4780599996</v>
      </c>
      <c r="AS30" s="87">
        <f t="shared" ref="AS30:AX30" si="119">SUM(AS31:AS35)</f>
        <v>1323295.4185000001</v>
      </c>
      <c r="AT30" s="75">
        <f t="shared" si="119"/>
        <v>1259368.43</v>
      </c>
      <c r="AU30" s="75">
        <f t="shared" si="119"/>
        <v>1249770.3591899998</v>
      </c>
      <c r="AV30" s="40">
        <f t="shared" si="119"/>
        <v>1253712.02</v>
      </c>
      <c r="AW30" s="40">
        <f t="shared" si="119"/>
        <v>1332776.94</v>
      </c>
      <c r="AX30" s="87">
        <f t="shared" si="119"/>
        <v>1258747.6599999999</v>
      </c>
      <c r="AY30" s="87">
        <f t="shared" ref="AY30:BF30" si="120">SUM(AY31:AY35)</f>
        <v>1234402.54</v>
      </c>
      <c r="AZ30" s="75">
        <f t="shared" si="120"/>
        <v>1317311.8799999999</v>
      </c>
      <c r="BA30" s="75">
        <f t="shared" si="120"/>
        <v>1292088.71</v>
      </c>
      <c r="BB30" s="75">
        <f t="shared" si="120"/>
        <v>1275188.73</v>
      </c>
      <c r="BC30" s="75">
        <f t="shared" si="120"/>
        <v>1323201.95</v>
      </c>
      <c r="BD30" s="75">
        <f t="shared" si="120"/>
        <v>1329771.19</v>
      </c>
      <c r="BE30" s="84">
        <f t="shared" si="120"/>
        <v>1243869.2</v>
      </c>
      <c r="BF30" s="84">
        <f t="shared" si="120"/>
        <v>1287790.48</v>
      </c>
      <c r="BG30" s="84">
        <f t="shared" ref="BG30" si="121">SUM(BG31:BG35)</f>
        <v>1249602.57</v>
      </c>
      <c r="BH30" s="122">
        <f>SUM(BH31:BH35)</f>
        <v>1221022.8</v>
      </c>
      <c r="BI30" s="122">
        <f t="shared" ref="BI30:BJ30" si="122">SUM(BI31:BI35)</f>
        <v>1293641.42</v>
      </c>
      <c r="BJ30" s="122">
        <f t="shared" si="122"/>
        <v>1254554.6099999999</v>
      </c>
      <c r="BK30" s="122">
        <f t="shared" ref="BK30:BL30" si="123">SUM(BK31:BK35)</f>
        <v>1242010.21</v>
      </c>
      <c r="BL30" s="122">
        <f t="shared" si="123"/>
        <v>1314012.03</v>
      </c>
      <c r="BM30" s="122">
        <f t="shared" ref="BM30" si="124">SUM(BM31:BM35)</f>
        <v>1318235.6799532</v>
      </c>
      <c r="BN30" s="122">
        <f t="shared" ref="BN30:BO30" si="125">SUM(BN31:BN35)</f>
        <v>1282907.7</v>
      </c>
      <c r="BO30" s="122">
        <f t="shared" si="125"/>
        <v>1349356.3900000001</v>
      </c>
      <c r="BP30" s="122">
        <f t="shared" ref="BP30:BU30" si="126">SUM(BP31:BP35)</f>
        <v>1357013.9019199999</v>
      </c>
      <c r="BQ30" s="122">
        <f t="shared" si="126"/>
        <v>1291590.52</v>
      </c>
      <c r="BR30" s="122">
        <f t="shared" si="126"/>
        <v>1303248.8900000001</v>
      </c>
      <c r="BS30" s="122">
        <f t="shared" si="126"/>
        <v>1346823.93</v>
      </c>
      <c r="BT30" s="122">
        <f t="shared" si="126"/>
        <v>1307085.55</v>
      </c>
      <c r="BU30" s="122">
        <f t="shared" si="126"/>
        <v>1363407.4</v>
      </c>
      <c r="BV30" s="122">
        <f t="shared" ref="BV30:BW30" si="127">SUM(BV31:BV35)</f>
        <v>1381321.47</v>
      </c>
      <c r="BW30" s="122">
        <f t="shared" si="127"/>
        <v>1355173.4347600001</v>
      </c>
      <c r="BX30" s="122">
        <f t="shared" ref="BX30:BY30" si="128">SUM(BX31:BX35)</f>
        <v>1433476.26</v>
      </c>
      <c r="BY30" s="122">
        <f t="shared" si="128"/>
        <v>1385073.25</v>
      </c>
      <c r="BZ30" s="122">
        <f t="shared" ref="BZ30:CA30" si="129">SUM(BZ31:BZ35)</f>
        <v>1377700.5</v>
      </c>
      <c r="CA30" s="122">
        <f t="shared" si="129"/>
        <v>1426336.17</v>
      </c>
      <c r="CB30" s="122">
        <f t="shared" ref="CB30:CC30" si="130">SUM(CB31:CB35)</f>
        <v>1400108.6809999999</v>
      </c>
      <c r="CC30" s="122">
        <f t="shared" si="130"/>
        <v>1351362.1765699999</v>
      </c>
      <c r="CD30" s="122">
        <f t="shared" ref="CD30:CE30" si="131">SUM(CD31:CD35)</f>
        <v>1425257.7548099998</v>
      </c>
      <c r="CE30" s="122">
        <f t="shared" si="131"/>
        <v>1430619.9500000002</v>
      </c>
      <c r="CF30" s="122">
        <f t="shared" ref="CF30:CG30" si="132">SUM(CF31:CF35)</f>
        <v>1420356.1075200001</v>
      </c>
      <c r="CG30" s="122">
        <f t="shared" si="132"/>
        <v>1399127.7988700001</v>
      </c>
    </row>
    <row r="31" spans="1:86" x14ac:dyDescent="0.25">
      <c r="A31" s="27" t="s">
        <v>85</v>
      </c>
      <c r="B31" s="31" t="s">
        <v>37</v>
      </c>
      <c r="C31" s="29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61">
        <f>746.2*123.1541-P25</f>
        <v>88535.482490000009</v>
      </c>
      <c r="Q31" s="61">
        <f>735.3*125.4111-Q25</f>
        <v>88013.509979999988</v>
      </c>
      <c r="R31" s="61">
        <f>738.1*126.3835-R25</f>
        <v>89075.090799999991</v>
      </c>
      <c r="S31" s="61">
        <f>714.4*126.5582-S25</f>
        <v>86211.44584</v>
      </c>
      <c r="T31" s="61">
        <f>713.7*127.5727-T25</f>
        <v>86749.436000000016</v>
      </c>
      <c r="U31" s="62">
        <f>706.4*128.2704-U25</f>
        <v>86672.309279999987</v>
      </c>
      <c r="V31" s="62">
        <f>707.4*129.1064-V25</f>
        <v>87818.173280000003</v>
      </c>
      <c r="W31" s="62">
        <f>705.7*129.0391-W25</f>
        <v>87423.990250000003</v>
      </c>
      <c r="X31" s="62">
        <f>703.3*128.4404-X25</f>
        <v>86684.425960000008</v>
      </c>
      <c r="Y31" s="62">
        <f>691.9*128.2591-Y25</f>
        <v>85292.301499999987</v>
      </c>
      <c r="Z31" s="62">
        <f>689.8*128.1053-Z25</f>
        <v>85023.487609999982</v>
      </c>
      <c r="AA31" s="62">
        <f>681.4*128.6672-AA25</f>
        <v>84313.042816000001</v>
      </c>
      <c r="AB31" s="62">
        <f>687.4*129.4011-AB25</f>
        <v>85570.359408000004</v>
      </c>
      <c r="AC31" s="62">
        <f>698.3*130.1443-AC25</f>
        <v>87548.070609999981</v>
      </c>
      <c r="AD31" s="62">
        <f>703.3*128.6228-AD25</f>
        <v>87206.106599999999</v>
      </c>
      <c r="AE31" s="62">
        <f>687.36*128.2195-AE25</f>
        <v>84905.670704999997</v>
      </c>
      <c r="AF31" s="62">
        <f>703.3*129.6466-AF25</f>
        <v>87913.359459999992</v>
      </c>
      <c r="AG31" s="62">
        <f>691.8*129.91-AG25</f>
        <v>86598.005999999994</v>
      </c>
      <c r="AH31" s="62">
        <f>689.5*127.2868-AH25</f>
        <v>84429.334440000006</v>
      </c>
      <c r="AI31" s="62">
        <f>692.3*126.0787-AI25</f>
        <v>83375.844309999986</v>
      </c>
      <c r="AJ31" s="62">
        <f>687.9*125.0004-AJ25</f>
        <v>82187.762999999992</v>
      </c>
      <c r="AK31" s="62">
        <f>694.2*125.3866-AK25</f>
        <v>83595.246220000001</v>
      </c>
      <c r="AL31" s="62">
        <f>691.5*128.154-AL25</f>
        <v>84940.4712</v>
      </c>
      <c r="AM31" s="62">
        <f>685.6*125.985-AM25</f>
        <v>82809.940500000012</v>
      </c>
      <c r="AN31" s="62">
        <v>83363.600000000006</v>
      </c>
      <c r="AO31" s="33">
        <v>85247.016250000001</v>
      </c>
      <c r="AP31" s="52">
        <v>88601.228099999993</v>
      </c>
      <c r="AQ31" s="77">
        <v>87970.42</v>
      </c>
      <c r="AR31" s="77">
        <v>93026.282339999976</v>
      </c>
      <c r="AS31" s="85">
        <v>91600.811720000012</v>
      </c>
      <c r="AT31" s="52">
        <v>88177.52</v>
      </c>
      <c r="AU31" s="52">
        <v>88662.3</v>
      </c>
      <c r="AV31" s="9">
        <v>89273.62</v>
      </c>
      <c r="AW31" s="9">
        <v>93450.34</v>
      </c>
      <c r="AX31" s="85">
        <v>87820.2</v>
      </c>
      <c r="AY31" s="85">
        <v>85339.66</v>
      </c>
      <c r="AZ31" s="53">
        <v>92920.51</v>
      </c>
      <c r="BA31" s="53">
        <v>91194.76</v>
      </c>
      <c r="BB31" s="53">
        <v>92193.37</v>
      </c>
      <c r="BC31" s="53">
        <v>91132.81</v>
      </c>
      <c r="BD31" s="53">
        <v>90866.32</v>
      </c>
      <c r="BE31" s="8">
        <v>103545.39</v>
      </c>
      <c r="BF31" s="8">
        <v>107192.95</v>
      </c>
      <c r="BG31" s="8">
        <v>107836.52</v>
      </c>
      <c r="BH31" s="119">
        <v>101163.4</v>
      </c>
      <c r="BI31" s="119">
        <v>102818.48</v>
      </c>
      <c r="BJ31" s="119">
        <v>100884.96</v>
      </c>
      <c r="BK31" s="119">
        <v>98040.54</v>
      </c>
      <c r="BL31" s="119">
        <v>105198.16</v>
      </c>
      <c r="BM31" s="119">
        <v>105518.91211120001</v>
      </c>
      <c r="BN31" s="119">
        <v>102810.15</v>
      </c>
      <c r="BO31" s="119">
        <v>102873.59</v>
      </c>
      <c r="BP31" s="119">
        <v>103934.38</v>
      </c>
      <c r="BQ31" s="119">
        <v>98720.2</v>
      </c>
      <c r="BR31" s="119">
        <v>102466.3</v>
      </c>
      <c r="BS31" s="119">
        <v>103877.34</v>
      </c>
      <c r="BT31" s="119">
        <v>102711.78</v>
      </c>
      <c r="BU31" s="119">
        <v>102810.99</v>
      </c>
      <c r="BV31" s="119">
        <v>104048.85</v>
      </c>
      <c r="BW31" s="119">
        <v>98951.172377999988</v>
      </c>
      <c r="BX31" s="119">
        <v>104455.58</v>
      </c>
      <c r="BY31" s="119">
        <v>101163.85</v>
      </c>
      <c r="BZ31" s="119">
        <v>105067.93</v>
      </c>
      <c r="CA31" s="119">
        <v>104192.24</v>
      </c>
      <c r="CB31" s="119">
        <v>102377.015</v>
      </c>
      <c r="CC31" s="119">
        <v>98476.85407999999</v>
      </c>
      <c r="CD31" s="119">
        <v>103964.44573000001</v>
      </c>
      <c r="CE31" s="119">
        <v>104139.94</v>
      </c>
      <c r="CF31" s="119">
        <v>108949.17949999998</v>
      </c>
      <c r="CG31" s="119">
        <v>107726.69950999999</v>
      </c>
    </row>
    <row r="32" spans="1:86" x14ac:dyDescent="0.25">
      <c r="A32" s="27" t="s">
        <v>86</v>
      </c>
      <c r="B32" s="31" t="s">
        <v>38</v>
      </c>
      <c r="C32" s="29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61">
        <f>3514.7*123.1541-P26</f>
        <v>431556.59722</v>
      </c>
      <c r="Q32" s="61">
        <f>3507.4*125.4111-Q26</f>
        <v>438336.87672</v>
      </c>
      <c r="R32" s="61">
        <f>3555.7*126.3835-R26</f>
        <v>447852.57059999998</v>
      </c>
      <c r="S32" s="61">
        <f>3547.4*126.5582-S26</f>
        <v>447547.76266000001</v>
      </c>
      <c r="T32" s="61">
        <f>3667.8*127.5727-T26</f>
        <v>466495.09209000005</v>
      </c>
      <c r="U32" s="62">
        <f>3699.9*128.2704-U26</f>
        <v>472727.73215999996</v>
      </c>
      <c r="V32" s="62">
        <f>3666.3*129.1064-V26</f>
        <v>472051.73032000003</v>
      </c>
      <c r="W32" s="62">
        <f>3646.3*129.0391-W26</f>
        <v>469186.16759999999</v>
      </c>
      <c r="X32" s="62">
        <f>3703.8*128.4404-X26</f>
        <v>474407.4614400001</v>
      </c>
      <c r="Y32" s="62">
        <f>3710.2*128.2591-Y26</f>
        <v>474558.66999999993</v>
      </c>
      <c r="Z32" s="62">
        <f>3670*128.1053-Z26</f>
        <v>469249.71389999997</v>
      </c>
      <c r="AA32" s="62">
        <f>3671.87*128.6672-AA26</f>
        <v>471899.82272</v>
      </c>
      <c r="AB32" s="62">
        <f>3113*129.4011-AB26</f>
        <v>402424.48089000001</v>
      </c>
      <c r="AC32" s="62">
        <f>3120.7*130.1443-AC26</f>
        <v>405698.82638999994</v>
      </c>
      <c r="AD32" s="67">
        <f>3106.7*128.6228-AD26</f>
        <v>399152.56278400001</v>
      </c>
      <c r="AE32" s="67">
        <f>3183.36*128.2195-AE26</f>
        <v>407730.31683000003</v>
      </c>
      <c r="AF32" s="67">
        <f>3158.2*129.6466-AF26</f>
        <v>407219.9706</v>
      </c>
      <c r="AG32" s="67">
        <f>3152*129.91-AG26</f>
        <v>407436.73300000001</v>
      </c>
      <c r="AH32" s="67">
        <f>3141.6*127.2868-AH26</f>
        <v>397885.80811999994</v>
      </c>
      <c r="AI32" s="67">
        <f>3132*126.0787-AI26</f>
        <v>392886.44493999996</v>
      </c>
      <c r="AJ32" s="67">
        <f>3121.2*125.0004-AJ26</f>
        <v>388176.24215999997</v>
      </c>
      <c r="AK32" s="67">
        <f>3127.5*125.3866-AK26</f>
        <v>389613.78217999998</v>
      </c>
      <c r="AL32" s="62">
        <f>3104.1*128.154-AL26</f>
        <v>396111.19859999995</v>
      </c>
      <c r="AM32" s="67">
        <f>3114.8*125.985-AM26</f>
        <v>390855.86400000006</v>
      </c>
      <c r="AN32" s="67">
        <v>388294.9</v>
      </c>
      <c r="AO32" s="33">
        <v>400769.69349999999</v>
      </c>
      <c r="AP32" s="52">
        <v>400739.07511000003</v>
      </c>
      <c r="AQ32" s="77">
        <v>423449.93</v>
      </c>
      <c r="AR32" s="77">
        <v>427400.95295999991</v>
      </c>
      <c r="AS32" s="8">
        <v>418767.79230000003</v>
      </c>
      <c r="AT32" s="52">
        <v>397461.12</v>
      </c>
      <c r="AU32" s="52">
        <v>393676.96</v>
      </c>
      <c r="AV32" s="8">
        <v>398060.74</v>
      </c>
      <c r="AW32" s="8">
        <v>423679.3</v>
      </c>
      <c r="AX32" s="85">
        <v>398926.3</v>
      </c>
      <c r="AY32" s="85">
        <v>391199.13</v>
      </c>
      <c r="AZ32" s="53">
        <v>415638.78</v>
      </c>
      <c r="BA32" s="53">
        <v>409340.42</v>
      </c>
      <c r="BB32" s="53">
        <v>402654.62</v>
      </c>
      <c r="BC32" s="53">
        <v>419429.54</v>
      </c>
      <c r="BD32" s="53">
        <v>419923.83</v>
      </c>
      <c r="BE32" s="52">
        <v>409964.58</v>
      </c>
      <c r="BF32" s="52">
        <v>423422.98</v>
      </c>
      <c r="BG32" s="52">
        <v>407951.12</v>
      </c>
      <c r="BH32" s="120">
        <v>403589.09</v>
      </c>
      <c r="BI32" s="120">
        <v>427808.04</v>
      </c>
      <c r="BJ32" s="120">
        <v>413458.46</v>
      </c>
      <c r="BK32" s="120">
        <v>413350.82</v>
      </c>
      <c r="BL32" s="120">
        <v>437389.32</v>
      </c>
      <c r="BM32" s="120">
        <v>438401.35784200003</v>
      </c>
      <c r="BN32" s="120">
        <v>425367.72</v>
      </c>
      <c r="BO32" s="120">
        <v>448645.75</v>
      </c>
      <c r="BP32" s="120">
        <v>448342.02191999991</v>
      </c>
      <c r="BQ32" s="120">
        <v>426854.40000000002</v>
      </c>
      <c r="BR32" s="120">
        <v>434766.67</v>
      </c>
      <c r="BS32" s="120">
        <v>451999.26</v>
      </c>
      <c r="BT32" s="120">
        <v>436549.65</v>
      </c>
      <c r="BU32" s="120">
        <v>455290.01</v>
      </c>
      <c r="BV32" s="120">
        <v>459437.68</v>
      </c>
      <c r="BW32" s="120">
        <v>467226.42793699994</v>
      </c>
      <c r="BX32" s="120">
        <v>498428.08</v>
      </c>
      <c r="BY32" s="120">
        <v>479993.22</v>
      </c>
      <c r="BZ32" s="119">
        <v>474099.99</v>
      </c>
      <c r="CA32" s="119">
        <v>490971.17</v>
      </c>
      <c r="CB32" s="119">
        <v>479979.424</v>
      </c>
      <c r="CC32" s="119">
        <v>464142.85201999999</v>
      </c>
      <c r="CD32" s="119">
        <v>487476.35079</v>
      </c>
      <c r="CE32" s="119">
        <v>487218.9</v>
      </c>
      <c r="CF32" s="119">
        <v>481563.12777999992</v>
      </c>
      <c r="CG32" s="119">
        <v>483725.70610999997</v>
      </c>
    </row>
    <row r="33" spans="1:85" x14ac:dyDescent="0.25">
      <c r="A33" s="27" t="s">
        <v>87</v>
      </c>
      <c r="B33" s="31" t="s">
        <v>39</v>
      </c>
      <c r="C33" s="29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61">
        <f>275.2*123.1541-P27</f>
        <v>33892.008320000001</v>
      </c>
      <c r="Q33" s="61">
        <f>260.6*125.4111-Q27</f>
        <v>32682.132660000003</v>
      </c>
      <c r="R33" s="61">
        <f>255.4*126.3835-R27</f>
        <v>32088.770649999999</v>
      </c>
      <c r="S33" s="61">
        <f>243.1*126.5582-S27</f>
        <v>30576.46112</v>
      </c>
      <c r="T33" s="61">
        <f>244.6*127.5727-T27</f>
        <v>31000.166099999999</v>
      </c>
      <c r="U33" s="62">
        <f>249.2*128.2704-U27</f>
        <v>31759.751039999999</v>
      </c>
      <c r="V33" s="62">
        <f>239.1*129.1064-V27</f>
        <v>29332.97408</v>
      </c>
      <c r="W33" s="62">
        <f>228.4*129.0391-W27</f>
        <v>27949.869059999997</v>
      </c>
      <c r="X33" s="62">
        <f>216.7*128.4404-X27</f>
        <v>25855.052520000001</v>
      </c>
      <c r="Y33" s="62">
        <f>219.8*128.2591-Y27</f>
        <v>26177.682309999997</v>
      </c>
      <c r="Z33" s="62">
        <f>217.91*128.1053-Z27</f>
        <v>25928.512719999999</v>
      </c>
      <c r="AA33" s="62">
        <f>210.481*128.6672-AA27</f>
        <v>25018.179035200003</v>
      </c>
      <c r="AB33" s="62">
        <f>204.1*129.4011-AB27</f>
        <v>24974.4123</v>
      </c>
      <c r="AC33" s="62">
        <f>196.5*130.1443-AC27</f>
        <v>24089.709929999997</v>
      </c>
      <c r="AD33" s="62">
        <f>180.2*128.6228-AD27</f>
        <v>21582.905840000003</v>
      </c>
      <c r="AE33" s="62">
        <f>176.4*128.2195-AE27</f>
        <v>21001.071905000004</v>
      </c>
      <c r="AF33" s="62">
        <f>176.7*129.6466-AF27</f>
        <v>21275.007059999996</v>
      </c>
      <c r="AG33" s="62">
        <f>171.9*129.91-AG27</f>
        <v>20824.573</v>
      </c>
      <c r="AH33" s="62">
        <f>158*127.2868-AH27</f>
        <v>19474.880399999998</v>
      </c>
      <c r="AI33" s="62">
        <f>148.4*126.0787-AI27</f>
        <v>18079.685580000001</v>
      </c>
      <c r="AJ33" s="62">
        <f>142.9*125.0004-AJ27</f>
        <v>16912.554120000001</v>
      </c>
      <c r="AK33" s="62">
        <f>140.1*125.3866-AK27</f>
        <v>16576.108519999998</v>
      </c>
      <c r="AL33" s="62">
        <f>139.1*128.154-AL27</f>
        <v>16826.617859999998</v>
      </c>
      <c r="AM33" s="62">
        <f>140.2*125.985-AM27</f>
        <v>16806.398999999998</v>
      </c>
      <c r="AN33" s="62">
        <v>14888.15</v>
      </c>
      <c r="AO33" s="33">
        <v>13506.504000000001</v>
      </c>
      <c r="AP33" s="52">
        <v>13506.504000000001</v>
      </c>
      <c r="AQ33" s="77">
        <v>7720.27</v>
      </c>
      <c r="AR33" s="77">
        <v>7881.718139999999</v>
      </c>
      <c r="AS33" s="8">
        <v>7820.2403400000003</v>
      </c>
      <c r="AT33" s="52">
        <v>7188.45</v>
      </c>
      <c r="AU33" s="52">
        <v>5750.6534999999994</v>
      </c>
      <c r="AV33" s="8">
        <v>5913.26</v>
      </c>
      <c r="AW33" s="8">
        <v>5267.07</v>
      </c>
      <c r="AX33" s="85">
        <v>5049.21</v>
      </c>
      <c r="AY33" s="85">
        <v>4843.67</v>
      </c>
      <c r="AZ33" s="53">
        <v>5155.5</v>
      </c>
      <c r="BA33" s="53">
        <v>794.27</v>
      </c>
      <c r="BB33" s="53">
        <v>786.41</v>
      </c>
      <c r="BC33" s="53">
        <v>0</v>
      </c>
      <c r="BD33" s="53">
        <v>0</v>
      </c>
      <c r="BE33" s="8">
        <v>0</v>
      </c>
      <c r="BF33" s="8">
        <v>0</v>
      </c>
      <c r="BG33" s="8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</row>
    <row r="34" spans="1:85" x14ac:dyDescent="0.25">
      <c r="A34" s="27" t="s">
        <v>88</v>
      </c>
      <c r="B34" s="31" t="s">
        <v>40</v>
      </c>
      <c r="C34" s="29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61">
        <f>10.4*123.1541-P28</f>
        <v>1280.8026400000001</v>
      </c>
      <c r="Q34" s="61">
        <f>10.4*125.4111-Q28</f>
        <v>1304.2754400000001</v>
      </c>
      <c r="R34" s="61">
        <f>10.4*126.3835-R28</f>
        <v>1314.3884</v>
      </c>
      <c r="S34" s="61">
        <f>10.5*126.5582-S28</f>
        <v>1328.8611000000001</v>
      </c>
      <c r="T34" s="61">
        <f>10.4*127.5727-T28</f>
        <v>1326.7560800000001</v>
      </c>
      <c r="U34" s="62">
        <f>9.9*128.2704-U28</f>
        <v>1269.8769600000001</v>
      </c>
      <c r="V34" s="62">
        <f>9.9*129.1064-V28</f>
        <v>1278.15336</v>
      </c>
      <c r="W34" s="62">
        <f>9.9*129.0391-W28</f>
        <v>1277.4870899999999</v>
      </c>
      <c r="X34" s="62">
        <f>9.9*128.4404-X28</f>
        <v>1271.55996</v>
      </c>
      <c r="Y34" s="62">
        <f>9.9*128.2591-Y28</f>
        <v>1269.7650899999999</v>
      </c>
      <c r="Z34" s="62">
        <f>9.9*128.1053-Z28</f>
        <v>1268.2424700000001</v>
      </c>
      <c r="AA34" s="62">
        <f>9.92*128.6672-AA28</f>
        <v>1276.3786240000002</v>
      </c>
      <c r="AB34" s="62">
        <f>9.9*129.4011-AB28</f>
        <v>1281.0708900000002</v>
      </c>
      <c r="AC34" s="62">
        <f>9.9*130.1443-AC28</f>
        <v>1288.4285699999998</v>
      </c>
      <c r="AD34" s="67">
        <f>9.9*128.6228-AD29</f>
        <v>1273.3657200000002</v>
      </c>
      <c r="AE34" s="67">
        <f>9.93*128.2195-AE29</f>
        <v>1273.2196350000002</v>
      </c>
      <c r="AF34" s="67">
        <f>9.9*129.6466-AF29</f>
        <v>1283.50134</v>
      </c>
      <c r="AG34" s="67">
        <f>8.9*129.91-AG29</f>
        <v>1156.1990000000001</v>
      </c>
      <c r="AH34" s="67">
        <f>8.9*127.2868-AH29</f>
        <v>1132.8525200000001</v>
      </c>
      <c r="AI34" s="67">
        <f>8.9*126.0787-AI29</f>
        <v>1122.10043</v>
      </c>
      <c r="AJ34" s="67">
        <f>8.9*125.0004-AJ29</f>
        <v>1112.5035600000001</v>
      </c>
      <c r="AK34" s="67">
        <f>8.9*125.3866-AK29</f>
        <v>1115.94074</v>
      </c>
      <c r="AL34" s="62">
        <f>8.9*128.154-AL29</f>
        <v>1140.5706</v>
      </c>
      <c r="AM34" s="67">
        <f>8.3*125.985-AM28</f>
        <v>1045.6755000000001</v>
      </c>
      <c r="AN34" s="67">
        <v>1052.7</v>
      </c>
      <c r="AO34" s="33">
        <v>1074.3810000000001</v>
      </c>
      <c r="AP34" s="52">
        <v>1074.3810000000001</v>
      </c>
      <c r="AQ34" s="77">
        <v>0</v>
      </c>
      <c r="AR34" s="77">
        <v>0</v>
      </c>
      <c r="AS34" s="83">
        <v>0</v>
      </c>
      <c r="AT34" s="8">
        <v>0</v>
      </c>
      <c r="AU34" s="8">
        <v>0</v>
      </c>
      <c r="AV34" s="8">
        <v>0</v>
      </c>
      <c r="AW34" s="8">
        <v>0</v>
      </c>
      <c r="AX34" s="111">
        <v>0</v>
      </c>
      <c r="AY34" s="111">
        <v>0</v>
      </c>
      <c r="AZ34" s="53">
        <v>0</v>
      </c>
      <c r="BA34" s="53">
        <v>0</v>
      </c>
      <c r="BB34" s="53">
        <v>0</v>
      </c>
      <c r="BC34" s="53">
        <v>0</v>
      </c>
      <c r="BD34" s="53">
        <v>0</v>
      </c>
      <c r="BE34" s="8">
        <v>0</v>
      </c>
      <c r="BF34" s="8">
        <v>0</v>
      </c>
      <c r="BG34" s="8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</row>
    <row r="35" spans="1:85" ht="15.75" thickBot="1" x14ac:dyDescent="0.3">
      <c r="A35" s="34" t="s">
        <v>89</v>
      </c>
      <c r="B35" s="35" t="s">
        <v>41</v>
      </c>
      <c r="C35" s="36" t="s">
        <v>65</v>
      </c>
      <c r="D35" s="58">
        <f>4107.5*115.6521-D29</f>
        <v>427623.63974999997</v>
      </c>
      <c r="E35" s="59">
        <f>4099.6*116.1223-E29</f>
        <v>429362.20425000001</v>
      </c>
      <c r="F35" s="59">
        <f>3837.5*116.9832-F29</f>
        <v>432545.38199999998</v>
      </c>
      <c r="G35" s="59">
        <f>5707.6*117.4218-G29</f>
        <v>669010.70550000004</v>
      </c>
      <c r="H35" s="59">
        <f>5707.6*117.8553-H29</f>
        <v>671480.57175000012</v>
      </c>
      <c r="I35" s="59">
        <f>5707.6*119.0553-I29</f>
        <v>678317.57175000012</v>
      </c>
      <c r="J35" s="59">
        <f>5707.6*119.8343-J29</f>
        <v>682755.92425000004</v>
      </c>
      <c r="K35" s="59">
        <f>5699.8*119.932-K29</f>
        <v>683324.56320000009</v>
      </c>
      <c r="L35" s="81">
        <f>5699.8*120.415-L29</f>
        <v>684438.86</v>
      </c>
      <c r="M35" s="81">
        <f>5686.2*121.3417-M29</f>
        <v>688055.97568000003</v>
      </c>
      <c r="N35" s="81">
        <f>5686.8*121.8522-N29</f>
        <v>691023.82619999989</v>
      </c>
      <c r="O35" s="81">
        <f>5687.6*122.0421-O29</f>
        <v>694126.64796000009</v>
      </c>
      <c r="P35" s="37">
        <f>5688.8*123.1541-P29</f>
        <v>700599.04408000002</v>
      </c>
      <c r="Q35" s="37">
        <f>5681.7*125.4111-Q29</f>
        <v>712548.24687000003</v>
      </c>
      <c r="R35" s="37">
        <f>5665*126.3835-R29</f>
        <v>715962.52749999997</v>
      </c>
      <c r="S35" s="37">
        <f>5665*126.5582-S29</f>
        <v>716952.20299999998</v>
      </c>
      <c r="T35" s="37">
        <f>5627*127.5727-T29</f>
        <v>717851.58290000004</v>
      </c>
      <c r="U35" s="38">
        <f>5627*128.2704-U29</f>
        <v>721777.54079999996</v>
      </c>
      <c r="V35" s="38">
        <f>5622.8*129.1064-V29</f>
        <v>725939.4659200001</v>
      </c>
      <c r="W35" s="38">
        <f>5610.3*129.0391-W29</f>
        <v>723948.06273000001</v>
      </c>
      <c r="X35" s="38">
        <f>5610.3*128.4404-X29</f>
        <v>710442.38452000008</v>
      </c>
      <c r="Y35" s="38">
        <f>5610.3*128.2591-Y29</f>
        <v>709529.34120000002</v>
      </c>
      <c r="Z35" s="38">
        <f>5610.3*128.1053-Z29</f>
        <v>708678.51960000012</v>
      </c>
      <c r="AA35" s="50">
        <f>5610.28*128.6672-AA29</f>
        <v>711687.87665599992</v>
      </c>
      <c r="AB35" s="50">
        <f>5610.3*129.4011-AB29</f>
        <v>715756.30443000013</v>
      </c>
      <c r="AC35" s="50">
        <f>5602.4*130.1443-AC29</f>
        <v>718839.0266199999</v>
      </c>
      <c r="AD35" s="50">
        <f>5424.4*128.6228-AD29</f>
        <v>697701.51632000005</v>
      </c>
      <c r="AE35" s="50">
        <f>5424.41*128.2195-AE29</f>
        <v>695515.137995</v>
      </c>
      <c r="AF35" s="50">
        <f>6148.5*129.6466-AF29</f>
        <v>797132.12010000006</v>
      </c>
      <c r="AG35" s="50">
        <f>6148.5*129.91-AG29</f>
        <v>798751.63500000001</v>
      </c>
      <c r="AH35" s="50">
        <f>6148.5*127.2868-AH29</f>
        <v>782622.8898</v>
      </c>
      <c r="AI35" s="50">
        <f>6147.8*126.0787-AI29</f>
        <v>775106.63185999996</v>
      </c>
      <c r="AJ35" s="50">
        <f>6141.9*125.0004-AJ29</f>
        <v>767739.95675999997</v>
      </c>
      <c r="AK35" s="50">
        <f>6141.9*125.3866-AK29</f>
        <v>770111.95853999991</v>
      </c>
      <c r="AL35" s="72">
        <f>6141.9*128.154-AL29</f>
        <v>787109.05259999994</v>
      </c>
      <c r="AM35" s="50">
        <f>6141.9*125.985-AM29</f>
        <v>761276.96099999989</v>
      </c>
      <c r="AN35" s="50">
        <v>769697.13</v>
      </c>
      <c r="AO35" s="38">
        <v>785474.83299999998</v>
      </c>
      <c r="AP35" s="76">
        <v>773974.27624000004</v>
      </c>
      <c r="AQ35" s="79">
        <v>807363.97</v>
      </c>
      <c r="AR35" s="79">
        <v>819932.52461999992</v>
      </c>
      <c r="AS35" s="38">
        <v>805106.57414000016</v>
      </c>
      <c r="AT35" s="76">
        <v>766541.34</v>
      </c>
      <c r="AU35" s="76">
        <v>761680.44568999985</v>
      </c>
      <c r="AV35" s="38">
        <v>760464.4</v>
      </c>
      <c r="AW35" s="38">
        <v>810380.23</v>
      </c>
      <c r="AX35" s="112">
        <v>766951.95</v>
      </c>
      <c r="AY35" s="112">
        <v>753020.08</v>
      </c>
      <c r="AZ35" s="113">
        <v>803597.09</v>
      </c>
      <c r="BA35" s="113">
        <v>790759.26</v>
      </c>
      <c r="BB35" s="113">
        <v>779554.33</v>
      </c>
      <c r="BC35" s="113">
        <v>812639.6</v>
      </c>
      <c r="BD35" s="113">
        <v>818981.04</v>
      </c>
      <c r="BE35" s="38">
        <v>730359.23</v>
      </c>
      <c r="BF35" s="38">
        <v>757174.55</v>
      </c>
      <c r="BG35" s="38">
        <v>733814.93</v>
      </c>
      <c r="BH35" s="121">
        <v>716270.31</v>
      </c>
      <c r="BI35" s="121">
        <v>763014.9</v>
      </c>
      <c r="BJ35" s="121">
        <v>740211.19</v>
      </c>
      <c r="BK35" s="121">
        <v>730618.85</v>
      </c>
      <c r="BL35" s="121">
        <v>771424.55</v>
      </c>
      <c r="BM35" s="121">
        <v>774315.41</v>
      </c>
      <c r="BN35" s="121">
        <v>754729.83</v>
      </c>
      <c r="BO35" s="121">
        <v>797837.05</v>
      </c>
      <c r="BP35" s="121">
        <v>804737.5</v>
      </c>
      <c r="BQ35" s="121">
        <v>766015.92</v>
      </c>
      <c r="BR35" s="121">
        <v>766015.92</v>
      </c>
      <c r="BS35" s="121">
        <v>790947.33</v>
      </c>
      <c r="BT35" s="121">
        <v>767824.12</v>
      </c>
      <c r="BU35" s="121">
        <v>805306.4</v>
      </c>
      <c r="BV35" s="121">
        <v>817834.94</v>
      </c>
      <c r="BW35" s="121">
        <v>788995.83444500004</v>
      </c>
      <c r="BX35" s="121">
        <v>830592.6</v>
      </c>
      <c r="BY35" s="121">
        <v>803916.18</v>
      </c>
      <c r="BZ35" s="121">
        <v>798532.58</v>
      </c>
      <c r="CA35" s="121">
        <v>831172.76</v>
      </c>
      <c r="CB35" s="121">
        <v>817752.24199999997</v>
      </c>
      <c r="CC35" s="121">
        <v>788742.47046999994</v>
      </c>
      <c r="CD35" s="121">
        <v>833816.95828999998</v>
      </c>
      <c r="CE35" s="121">
        <v>839261.11</v>
      </c>
      <c r="CF35" s="121">
        <v>829843.80024000001</v>
      </c>
      <c r="CG35" s="121">
        <v>807675.39324999996</v>
      </c>
    </row>
    <row r="36" spans="1:85" x14ac:dyDescent="0.25">
      <c r="AA36" s="14"/>
      <c r="AB36" s="14"/>
      <c r="AC36" s="46"/>
      <c r="AD36" s="14"/>
      <c r="AE36" s="14"/>
      <c r="AF36" s="14"/>
      <c r="AG36" s="14"/>
      <c r="AH36" s="14"/>
      <c r="AI36" s="14"/>
      <c r="AJ36" s="67"/>
      <c r="AK36" s="14"/>
      <c r="AL36" s="14"/>
      <c r="AM36" s="41"/>
      <c r="AN36" s="14"/>
      <c r="AO36" s="14"/>
      <c r="AP36" s="9"/>
      <c r="AQ36" s="14"/>
      <c r="AR36" s="9"/>
      <c r="AS36" s="14"/>
      <c r="AT36" s="14"/>
      <c r="AU36" s="14"/>
      <c r="AV36" s="14"/>
      <c r="AW36" s="14"/>
      <c r="AX36" s="14"/>
      <c r="AY36" s="14"/>
      <c r="AZ36" s="14"/>
      <c r="BA36" s="104"/>
      <c r="BB36" s="14"/>
      <c r="BC36" s="9"/>
      <c r="BD36" s="14"/>
      <c r="BE36" s="14"/>
      <c r="BF36" s="14"/>
      <c r="BG36" s="9"/>
      <c r="BH36" s="8"/>
      <c r="BI36" s="14"/>
      <c r="BK36" s="68"/>
      <c r="BS36" s="141"/>
      <c r="BU36" s="74"/>
      <c r="BY36" s="147"/>
      <c r="BZ36" s="145"/>
      <c r="CA36" s="148"/>
      <c r="CB36" s="68"/>
      <c r="CD36" s="74"/>
    </row>
    <row r="37" spans="1:85" x14ac:dyDescent="0.25">
      <c r="B37" s="31"/>
      <c r="AA37" s="14"/>
      <c r="AB37" s="44"/>
      <c r="AC37" s="44"/>
      <c r="AD37" s="44"/>
      <c r="AE37" s="44"/>
      <c r="AF37" s="14"/>
      <c r="AG37" s="14"/>
      <c r="AH37" s="14"/>
      <c r="AI37" s="14"/>
      <c r="AJ37" s="62"/>
      <c r="AK37" s="14"/>
      <c r="AL37" s="14"/>
      <c r="AM37" s="14"/>
      <c r="AN37" s="14"/>
      <c r="AO37" s="14"/>
      <c r="AP37" s="14"/>
      <c r="AQ37" s="14"/>
      <c r="AR37" s="9"/>
      <c r="AS37" s="14"/>
      <c r="AT37" s="52"/>
      <c r="AU37" s="14"/>
      <c r="AV37" s="14"/>
      <c r="AW37" s="14"/>
      <c r="AX37" s="14"/>
      <c r="AY37" s="14"/>
      <c r="AZ37" s="14"/>
      <c r="BA37" s="104"/>
      <c r="BB37" s="14"/>
      <c r="BC37" s="9"/>
      <c r="BD37" s="14"/>
      <c r="BE37" s="135"/>
      <c r="BF37" s="14"/>
      <c r="BG37" s="9"/>
      <c r="BH37" s="14"/>
      <c r="BI37" s="9"/>
      <c r="BK37" s="68"/>
      <c r="BL37" s="10"/>
      <c r="BM37" s="68"/>
      <c r="BT37" s="68"/>
      <c r="BX37" s="145"/>
      <c r="BZ37" s="145"/>
      <c r="CD37" s="68"/>
    </row>
    <row r="38" spans="1:85" x14ac:dyDescent="0.25">
      <c r="B38" s="68"/>
      <c r="W38" s="39"/>
      <c r="AA38" s="14"/>
      <c r="AD38" s="14"/>
      <c r="AE38" s="9"/>
      <c r="AF38" s="9"/>
      <c r="AG38" s="14"/>
      <c r="AH38" s="14"/>
      <c r="AI38" s="14"/>
      <c r="AJ38" s="67"/>
      <c r="AK38" s="14"/>
      <c r="AL38" s="14"/>
      <c r="AM38" s="62"/>
      <c r="AN38" s="14"/>
      <c r="AO38" s="14"/>
      <c r="AP38" s="14"/>
      <c r="AQ38" s="14"/>
      <c r="AR38" s="9"/>
      <c r="AS38" s="9"/>
      <c r="AT38" s="52"/>
      <c r="AU38" s="14"/>
      <c r="AV38" s="14"/>
      <c r="AW38" s="14"/>
      <c r="AX38" s="14"/>
      <c r="AY38" s="14"/>
      <c r="AZ38" s="14"/>
      <c r="BA38" s="104"/>
      <c r="BB38" s="14"/>
      <c r="BC38" s="9"/>
      <c r="BD38" s="14"/>
      <c r="BE38" s="14"/>
      <c r="BF38" s="14"/>
      <c r="BG38" s="9"/>
      <c r="BH38" s="14"/>
      <c r="BI38" s="14"/>
      <c r="BJ38" s="14"/>
      <c r="BK38" s="14"/>
      <c r="BL38" s="9"/>
      <c r="BM38" s="14"/>
      <c r="BU38" s="33"/>
      <c r="BV38" s="69"/>
      <c r="BX38" s="68"/>
      <c r="CD38" s="144"/>
    </row>
    <row r="39" spans="1:85" x14ac:dyDescent="0.25">
      <c r="B39" s="33"/>
      <c r="AA39" s="14"/>
      <c r="AB39" s="14"/>
      <c r="AC39" s="47"/>
      <c r="AD39" s="14"/>
      <c r="AE39" s="14"/>
      <c r="AF39" s="9"/>
      <c r="AG39" s="9"/>
      <c r="AH39" s="14"/>
      <c r="AI39" s="14"/>
      <c r="AJ39" s="49"/>
      <c r="AK39" s="14"/>
      <c r="AL39" s="14"/>
      <c r="AM39" s="14"/>
      <c r="AN39" s="14"/>
      <c r="AO39" s="14"/>
      <c r="AP39" s="14"/>
      <c r="AQ39" s="14"/>
      <c r="AR39" s="9"/>
      <c r="AS39" s="14"/>
      <c r="AT39" s="52"/>
      <c r="AU39" s="14"/>
      <c r="AV39" s="14"/>
      <c r="AW39" s="14" t="s">
        <v>127</v>
      </c>
      <c r="AX39" s="14"/>
      <c r="AY39" s="14"/>
      <c r="AZ39" s="14"/>
      <c r="BA39" s="104"/>
      <c r="BB39" s="14"/>
      <c r="BC39" s="9"/>
      <c r="BD39" s="14"/>
      <c r="BE39" s="14"/>
      <c r="BF39" s="14"/>
      <c r="BG39" s="9"/>
      <c r="BH39" s="14"/>
      <c r="BI39" s="14"/>
      <c r="BJ39" s="14"/>
      <c r="BK39" s="14"/>
      <c r="BL39" s="9"/>
      <c r="BM39" s="8"/>
      <c r="BU39" s="69"/>
      <c r="CC39" s="69"/>
      <c r="CD39" s="144"/>
    </row>
    <row r="40" spans="1:85" x14ac:dyDescent="0.25">
      <c r="AA40" s="14"/>
      <c r="AB40" s="14"/>
      <c r="AC40" s="47"/>
      <c r="AD40" s="14"/>
      <c r="AE40" s="41"/>
      <c r="AF40" s="9"/>
      <c r="AG40" s="9"/>
      <c r="AH40" s="14"/>
      <c r="AI40" s="2"/>
      <c r="AJ40" s="14"/>
      <c r="AK40" s="14"/>
      <c r="AL40" s="14"/>
      <c r="AM40" s="9"/>
      <c r="AN40" s="14"/>
      <c r="AO40" s="14"/>
      <c r="AP40" s="14"/>
      <c r="AQ40" s="14"/>
      <c r="AR40" s="9"/>
      <c r="AS40" s="14"/>
      <c r="AT40" s="8"/>
      <c r="AU40" s="14"/>
      <c r="AV40" s="14"/>
      <c r="AW40" s="14"/>
      <c r="AX40" s="14"/>
      <c r="AY40" s="14"/>
      <c r="AZ40" s="14"/>
      <c r="BA40" s="104"/>
      <c r="BB40" s="14"/>
      <c r="BC40" s="9"/>
      <c r="BD40" s="14"/>
      <c r="BE40" s="14"/>
      <c r="BF40" s="14"/>
      <c r="BG40" s="9"/>
      <c r="BH40" s="14"/>
      <c r="BI40" s="14"/>
      <c r="BJ40" s="134"/>
      <c r="BK40" s="14"/>
      <c r="BL40" s="9"/>
      <c r="BM40" s="14"/>
      <c r="BX40" s="69"/>
      <c r="CC40" s="33"/>
      <c r="CD40" s="144"/>
    </row>
    <row r="41" spans="1:85" x14ac:dyDescent="0.25">
      <c r="B41" s="68"/>
      <c r="AA41" s="14"/>
      <c r="AB41" s="14"/>
      <c r="AC41" s="46"/>
      <c r="AD41" s="14"/>
      <c r="AE41" s="14"/>
      <c r="AF41" s="52"/>
      <c r="AG41" s="60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9"/>
      <c r="AS41" s="14"/>
      <c r="AT41" s="52"/>
      <c r="AU41" s="14"/>
      <c r="AV41" s="14"/>
      <c r="AW41" s="14"/>
      <c r="AX41" s="14"/>
      <c r="AY41" s="14"/>
      <c r="AZ41" s="14"/>
      <c r="BA41" s="104"/>
      <c r="BB41" s="14"/>
      <c r="BC41" s="9"/>
      <c r="BD41" s="14"/>
      <c r="BE41" s="14"/>
      <c r="BF41" s="14"/>
      <c r="BG41" s="9"/>
      <c r="BH41" s="14"/>
      <c r="BI41" s="14"/>
      <c r="BJ41" s="14"/>
      <c r="BK41" s="14"/>
      <c r="BL41" s="9"/>
      <c r="BM41" s="14"/>
      <c r="BQ41" s="68"/>
      <c r="BR41" s="68"/>
      <c r="CD41" s="144"/>
    </row>
    <row r="42" spans="1:85" x14ac:dyDescent="0.25">
      <c r="B42" s="70"/>
      <c r="AA42" s="14"/>
      <c r="AB42" s="14"/>
      <c r="AC42" s="48"/>
      <c r="AD42" s="14"/>
      <c r="AE42" s="14"/>
      <c r="AF42" s="53"/>
      <c r="AG42" s="41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9"/>
      <c r="AS42" s="14"/>
      <c r="AT42" s="14"/>
      <c r="AU42" s="14"/>
      <c r="AV42" s="14"/>
      <c r="AW42" s="14"/>
      <c r="AX42" s="14"/>
      <c r="AY42" s="14"/>
      <c r="AZ42" s="14"/>
      <c r="BA42" s="104"/>
      <c r="BB42" s="14"/>
      <c r="BC42" s="9"/>
      <c r="BD42" s="14"/>
      <c r="BE42" s="14"/>
      <c r="BF42" s="14"/>
      <c r="BG42" s="9"/>
      <c r="BH42" s="14"/>
      <c r="BI42" s="123"/>
      <c r="BJ42" s="14"/>
      <c r="BK42" s="9"/>
      <c r="BL42" s="9"/>
      <c r="BM42" s="14"/>
      <c r="CD42" s="144"/>
    </row>
    <row r="43" spans="1:85" x14ac:dyDescent="0.25">
      <c r="AA43" s="14"/>
      <c r="AB43" s="14"/>
      <c r="AC43" s="48"/>
      <c r="AD43" s="14"/>
      <c r="AE43" s="14"/>
      <c r="AF43" s="49"/>
      <c r="AG43" s="41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9"/>
      <c r="AS43" s="14"/>
      <c r="AT43" s="14"/>
      <c r="AU43" s="14"/>
      <c r="AV43" s="14"/>
      <c r="AW43" s="14"/>
      <c r="AX43" s="14"/>
      <c r="AY43" s="14"/>
      <c r="AZ43" s="14"/>
      <c r="BA43" s="104"/>
      <c r="BB43" s="14"/>
      <c r="BC43" s="9"/>
      <c r="BD43" s="2"/>
      <c r="BE43" s="14"/>
      <c r="BF43" s="14"/>
      <c r="BG43" s="9"/>
      <c r="BH43" s="14"/>
      <c r="BI43" s="123"/>
      <c r="BJ43" s="14"/>
      <c r="BK43" s="14"/>
      <c r="BL43" s="9"/>
      <c r="BM43" s="14"/>
      <c r="CD43" s="144"/>
    </row>
    <row r="44" spans="1:85" x14ac:dyDescent="0.25">
      <c r="AA44" s="14"/>
      <c r="AB44" s="14"/>
      <c r="AD44" s="14"/>
      <c r="AE44" s="42"/>
      <c r="AF44" s="49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9"/>
      <c r="AS44" s="14"/>
      <c r="AT44" s="14"/>
      <c r="AU44" s="14"/>
      <c r="AV44" s="14"/>
      <c r="AW44" s="14"/>
      <c r="AX44" s="14"/>
      <c r="AY44" s="14"/>
      <c r="AZ44" s="14"/>
      <c r="BA44" s="104"/>
      <c r="BB44" s="14"/>
      <c r="BC44" s="9"/>
      <c r="BD44" s="14"/>
      <c r="BE44" s="14"/>
      <c r="BF44" s="14"/>
      <c r="BG44" s="9"/>
      <c r="BH44" s="14"/>
      <c r="BI44" s="123"/>
      <c r="BJ44" s="14"/>
      <c r="BK44" s="14"/>
      <c r="BL44" s="9"/>
      <c r="BM44" s="14"/>
      <c r="BN44" s="9"/>
      <c r="CD44" s="144"/>
    </row>
    <row r="45" spans="1:85" x14ac:dyDescent="0.25">
      <c r="B45" s="70"/>
      <c r="AA45" s="14"/>
      <c r="AB45" s="14"/>
      <c r="AD45" s="14"/>
      <c r="AE45" s="42"/>
      <c r="AF45" s="51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9"/>
      <c r="AS45" s="14"/>
      <c r="AT45" s="14"/>
      <c r="AU45" s="14"/>
      <c r="AV45" s="14"/>
      <c r="AW45" s="14"/>
      <c r="AX45" s="14"/>
      <c r="AY45" s="14"/>
      <c r="AZ45" s="14"/>
      <c r="BA45" s="104"/>
      <c r="BB45" s="14"/>
      <c r="BC45" s="9"/>
      <c r="BD45" s="14"/>
      <c r="BE45" s="14"/>
      <c r="BF45" s="124"/>
      <c r="BG45" s="115"/>
      <c r="BH45" s="93"/>
      <c r="BI45" s="92"/>
      <c r="BJ45" s="9"/>
      <c r="BK45" s="89"/>
      <c r="BL45" s="9"/>
      <c r="BM45" s="9"/>
      <c r="CD45" s="144"/>
    </row>
    <row r="46" spans="1:85" x14ac:dyDescent="0.25">
      <c r="B46" s="70"/>
      <c r="AA46" s="14"/>
      <c r="AB46" s="14"/>
      <c r="AD46" s="14"/>
      <c r="AE46" s="14"/>
      <c r="AF46" s="49"/>
      <c r="AG46" s="8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9"/>
      <c r="AS46" s="14"/>
      <c r="AT46" s="14"/>
      <c r="AU46" s="14"/>
      <c r="AV46" s="14"/>
      <c r="AW46" s="14"/>
      <c r="AX46" s="14"/>
      <c r="AY46" s="14"/>
      <c r="AZ46" s="14"/>
      <c r="BA46" s="104"/>
      <c r="BB46" s="14"/>
      <c r="BC46" s="9"/>
      <c r="BD46" s="14"/>
      <c r="BE46" s="14"/>
      <c r="BF46" s="125"/>
      <c r="BG46" s="116"/>
      <c r="BH46" s="95"/>
      <c r="BI46" s="95"/>
      <c r="BJ46" s="9"/>
      <c r="BK46" s="89"/>
      <c r="BL46" s="9"/>
      <c r="BM46" s="14"/>
    </row>
    <row r="47" spans="1:85" x14ac:dyDescent="0.25">
      <c r="Y47" s="14"/>
      <c r="Z47" s="14"/>
      <c r="AA47" s="14"/>
      <c r="AB47" s="14"/>
      <c r="AC47" s="47"/>
      <c r="AD47" s="14"/>
      <c r="AE47" s="14"/>
      <c r="AF47" s="51"/>
      <c r="AG47" s="8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9"/>
      <c r="AS47" s="14"/>
      <c r="AT47" s="14"/>
      <c r="AU47" s="14"/>
      <c r="AV47" s="14"/>
      <c r="AW47" s="14"/>
      <c r="AX47" s="14"/>
      <c r="AY47" s="14"/>
      <c r="AZ47" s="14"/>
      <c r="BA47" s="105"/>
      <c r="BB47" s="93"/>
      <c r="BC47" s="115"/>
      <c r="BD47" s="92"/>
      <c r="BE47" s="14"/>
      <c r="BF47" s="124"/>
      <c r="BG47" s="117"/>
      <c r="BH47" s="94"/>
      <c r="BI47" s="94"/>
      <c r="BJ47" s="9"/>
      <c r="BK47" s="9"/>
      <c r="BL47" s="9"/>
      <c r="BM47" s="41"/>
    </row>
    <row r="48" spans="1:85" x14ac:dyDescent="0.25">
      <c r="Y48" s="14"/>
      <c r="Z48" s="14"/>
      <c r="AA48" s="14"/>
      <c r="AB48" s="40"/>
      <c r="AC48" s="46"/>
      <c r="AD48" s="14"/>
      <c r="AE48" s="14"/>
      <c r="AF48" s="49"/>
      <c r="AG48" s="8"/>
      <c r="AH48" s="14"/>
      <c r="AI48" s="9"/>
      <c r="AJ48" s="14"/>
      <c r="AK48" s="14"/>
      <c r="AL48" s="14"/>
      <c r="AM48" s="14"/>
      <c r="AN48" s="14"/>
      <c r="AO48" s="14"/>
      <c r="AP48" s="14"/>
      <c r="AQ48" s="14"/>
      <c r="AR48" s="9"/>
      <c r="AS48" s="14"/>
      <c r="AT48" s="14"/>
      <c r="AU48" s="14"/>
      <c r="AV48" s="14"/>
      <c r="AW48" s="14"/>
      <c r="AX48" s="14"/>
      <c r="AY48" s="14"/>
      <c r="AZ48" s="14"/>
      <c r="BA48" s="106"/>
      <c r="BB48" s="95"/>
      <c r="BC48" s="116"/>
      <c r="BD48" s="95"/>
      <c r="BE48" s="14"/>
      <c r="BF48" s="126"/>
      <c r="BG48" s="116"/>
      <c r="BH48" s="96"/>
      <c r="BI48" s="96"/>
      <c r="BJ48" s="9"/>
      <c r="BK48" s="9"/>
      <c r="BL48" s="9"/>
      <c r="BM48" s="41"/>
    </row>
    <row r="49" spans="25:67" x14ac:dyDescent="0.25">
      <c r="Y49" s="14"/>
      <c r="Z49" s="8"/>
      <c r="AA49" s="14"/>
      <c r="AB49" s="14"/>
      <c r="AD49" s="14"/>
      <c r="AE49" s="14"/>
      <c r="AF49" s="14"/>
      <c r="AG49" s="8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9"/>
      <c r="AS49" s="14"/>
      <c r="AT49" s="14"/>
      <c r="AU49" s="14"/>
      <c r="AV49" s="14"/>
      <c r="AW49" s="14"/>
      <c r="AX49" s="14"/>
      <c r="AY49" s="14"/>
      <c r="AZ49" s="14"/>
      <c r="BA49" s="107"/>
      <c r="BB49" s="94"/>
      <c r="BC49" s="117"/>
      <c r="BD49" s="94"/>
      <c r="BE49" s="14"/>
      <c r="BF49" s="126"/>
      <c r="BG49" s="116"/>
      <c r="BH49" s="96"/>
      <c r="BI49" s="96"/>
      <c r="BJ49" s="9"/>
      <c r="BK49" s="9"/>
      <c r="BL49" s="9"/>
      <c r="BM49" s="41"/>
    </row>
    <row r="50" spans="25:67" x14ac:dyDescent="0.25">
      <c r="Y50" s="14"/>
      <c r="Z50" s="8"/>
      <c r="AA50" s="14"/>
      <c r="AB50" s="8"/>
      <c r="AD50" s="14"/>
      <c r="AE50" s="14"/>
      <c r="AF50" s="14"/>
      <c r="AG50" s="8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9"/>
      <c r="AS50" s="14"/>
      <c r="AT50" s="14"/>
      <c r="AU50" s="14"/>
      <c r="AV50" s="14"/>
      <c r="AW50" s="14"/>
      <c r="AX50" s="14"/>
      <c r="AY50" s="14"/>
      <c r="AZ50" s="14"/>
      <c r="BA50" s="106"/>
      <c r="BB50" s="96"/>
      <c r="BC50" s="118"/>
      <c r="BD50" s="96"/>
      <c r="BE50" s="14"/>
      <c r="BF50" s="126"/>
      <c r="BG50" s="116"/>
      <c r="BH50" s="96"/>
      <c r="BI50" s="96"/>
      <c r="BJ50" s="9"/>
      <c r="BK50" s="9"/>
      <c r="BL50" s="9"/>
      <c r="BM50" s="41"/>
    </row>
    <row r="51" spans="25:67" x14ac:dyDescent="0.25">
      <c r="Y51" s="14"/>
      <c r="Z51" s="8"/>
      <c r="AA51" s="40"/>
      <c r="AB51" s="8"/>
      <c r="AC51" s="48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9"/>
      <c r="AS51" s="14"/>
      <c r="AT51" s="14"/>
      <c r="AU51" s="14"/>
      <c r="AV51" s="14"/>
      <c r="AW51" s="14"/>
      <c r="AX51" s="14"/>
      <c r="AY51" s="14"/>
      <c r="AZ51" s="14"/>
      <c r="BA51" s="106"/>
      <c r="BB51" s="96"/>
      <c r="BC51" s="118"/>
      <c r="BD51" s="96"/>
      <c r="BE51" s="14"/>
      <c r="BF51" s="126"/>
      <c r="BG51" s="118"/>
      <c r="BH51" s="96"/>
      <c r="BI51" s="96"/>
      <c r="BJ51" s="9"/>
      <c r="BK51" s="9"/>
      <c r="BL51" s="9"/>
      <c r="BM51" s="41"/>
    </row>
    <row r="52" spans="25:67" x14ac:dyDescent="0.25">
      <c r="Y52" s="40"/>
      <c r="Z52" s="8"/>
      <c r="AA52" s="14"/>
      <c r="AB52" s="8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9"/>
      <c r="AS52" s="14"/>
      <c r="AT52" s="14"/>
      <c r="AU52" s="14"/>
      <c r="AV52" s="14"/>
      <c r="AW52" s="14"/>
      <c r="AX52" s="14"/>
      <c r="AY52" s="14"/>
      <c r="AZ52" s="14"/>
      <c r="BA52" s="106"/>
      <c r="BB52" s="96"/>
      <c r="BC52" s="118"/>
      <c r="BD52" s="95"/>
      <c r="BE52" s="14"/>
      <c r="BF52" s="125"/>
      <c r="BG52" s="116"/>
      <c r="BH52" s="95"/>
      <c r="BI52" s="95"/>
      <c r="BJ52" s="9"/>
      <c r="BK52" s="89"/>
      <c r="BL52" s="9"/>
      <c r="BM52" s="41"/>
    </row>
    <row r="53" spans="25:67" x14ac:dyDescent="0.25">
      <c r="Y53" s="14"/>
      <c r="Z53" s="8"/>
      <c r="AA53" s="14"/>
      <c r="AB53" s="8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9"/>
      <c r="AS53" s="14"/>
      <c r="AT53" s="14"/>
      <c r="AU53" s="14"/>
      <c r="AV53" s="14"/>
      <c r="AW53" s="14"/>
      <c r="AX53" s="14"/>
      <c r="AY53" s="14"/>
      <c r="AZ53" s="14"/>
      <c r="BA53" s="108"/>
      <c r="BB53" s="96"/>
      <c r="BC53" s="118"/>
      <c r="BD53" s="96"/>
      <c r="BE53" s="14"/>
      <c r="BF53" s="124"/>
      <c r="BG53" s="115"/>
      <c r="BH53" s="92"/>
      <c r="BI53" s="92"/>
      <c r="BJ53" s="9"/>
      <c r="BK53" s="89"/>
      <c r="BL53" s="9"/>
      <c r="BM53" s="41"/>
    </row>
    <row r="54" spans="25:67" x14ac:dyDescent="0.25">
      <c r="Y54" s="14"/>
      <c r="Z54" s="8"/>
      <c r="AA54" s="14"/>
      <c r="AB54" s="8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9"/>
      <c r="AS54" s="14"/>
      <c r="AT54" s="14"/>
      <c r="AU54" s="14"/>
      <c r="AV54" s="14"/>
      <c r="AW54" s="14"/>
      <c r="AX54" s="14"/>
      <c r="AY54" s="14"/>
      <c r="AZ54" s="14"/>
      <c r="BA54" s="106"/>
      <c r="BB54" s="95"/>
      <c r="BC54" s="116"/>
      <c r="BD54" s="95"/>
      <c r="BE54" s="14"/>
      <c r="BF54" s="125"/>
      <c r="BG54" s="116"/>
      <c r="BH54" s="95"/>
      <c r="BI54" s="95"/>
      <c r="BJ54" s="9"/>
      <c r="BK54" s="89"/>
      <c r="BL54" s="9"/>
      <c r="BM54" s="41"/>
    </row>
    <row r="55" spans="25:67" x14ac:dyDescent="0.25">
      <c r="Y55" s="14"/>
      <c r="Z55" s="8"/>
      <c r="AA55" s="14"/>
      <c r="AB55" s="8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9"/>
      <c r="AS55" s="14"/>
      <c r="AT55" s="14"/>
      <c r="AU55" s="14"/>
      <c r="AV55" s="14"/>
      <c r="AW55" s="14"/>
      <c r="AX55" s="14"/>
      <c r="AY55" s="14"/>
      <c r="AZ55" s="14"/>
      <c r="BA55" s="105"/>
      <c r="BB55" s="92"/>
      <c r="BC55" s="115"/>
      <c r="BD55" s="94"/>
      <c r="BE55" s="14"/>
      <c r="BF55" s="124"/>
      <c r="BG55" s="117"/>
      <c r="BH55" s="94"/>
      <c r="BI55" s="94"/>
      <c r="BJ55" s="9"/>
      <c r="BK55" s="89"/>
      <c r="BL55" s="9"/>
      <c r="BM55" s="41"/>
    </row>
    <row r="56" spans="25:67" x14ac:dyDescent="0.25">
      <c r="Y56" s="40"/>
      <c r="Z56" s="8"/>
      <c r="AA56" s="14"/>
      <c r="AB56" s="8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9"/>
      <c r="AS56" s="14"/>
      <c r="AT56" s="14"/>
      <c r="AU56" s="14"/>
      <c r="AV56" s="14"/>
      <c r="AW56" s="14"/>
      <c r="AX56" s="14"/>
      <c r="AY56" s="14"/>
      <c r="AZ56" s="14"/>
      <c r="BA56" s="106"/>
      <c r="BB56" s="95"/>
      <c r="BC56" s="116"/>
      <c r="BD56" s="95"/>
      <c r="BE56" s="14"/>
      <c r="BF56" s="125"/>
      <c r="BG56" s="116"/>
      <c r="BH56" s="95"/>
      <c r="BI56" s="95"/>
      <c r="BJ56" s="9"/>
      <c r="BK56" s="89"/>
      <c r="BL56" s="9"/>
      <c r="BM56" s="41"/>
    </row>
    <row r="57" spans="25:67" x14ac:dyDescent="0.25">
      <c r="Y57" s="9"/>
      <c r="Z57" s="8"/>
      <c r="AA57" s="14"/>
      <c r="AB57" s="8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9"/>
      <c r="AS57" s="14"/>
      <c r="AT57" s="14"/>
      <c r="AU57" s="14"/>
      <c r="AV57" s="14"/>
      <c r="AW57" s="14"/>
      <c r="AX57" s="14"/>
      <c r="AY57" s="14"/>
      <c r="AZ57" s="14"/>
      <c r="BA57" s="107"/>
      <c r="BB57" s="94"/>
      <c r="BC57" s="117"/>
      <c r="BD57" s="94"/>
      <c r="BE57" s="14"/>
      <c r="BF57" s="124"/>
      <c r="BG57" s="115"/>
      <c r="BH57" s="92"/>
      <c r="BI57" s="92"/>
      <c r="BJ57" s="9"/>
      <c r="BK57" s="40"/>
      <c r="BL57" s="40"/>
      <c r="BM57" s="99"/>
      <c r="BN57" s="40"/>
      <c r="BO57" s="91"/>
    </row>
    <row r="58" spans="25:67" x14ac:dyDescent="0.25">
      <c r="Y58" s="9"/>
      <c r="Z58" s="8"/>
      <c r="AA58" s="40"/>
      <c r="AB58" s="8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9"/>
      <c r="AS58" s="14"/>
      <c r="AT58" s="14"/>
      <c r="AU58" s="14"/>
      <c r="AV58" s="14"/>
      <c r="AW58" s="14"/>
      <c r="AX58" s="14"/>
      <c r="AY58" s="14"/>
      <c r="AZ58" s="14"/>
      <c r="BA58" s="106"/>
      <c r="BB58" s="95"/>
      <c r="BC58" s="116"/>
      <c r="BD58" s="95"/>
      <c r="BE58" s="14"/>
      <c r="BF58" s="125"/>
      <c r="BG58" s="116"/>
      <c r="BH58" s="95"/>
      <c r="BI58" s="95"/>
      <c r="BJ58" s="14"/>
      <c r="BK58" s="14"/>
      <c r="BL58" s="9"/>
      <c r="BM58" s="14"/>
    </row>
    <row r="59" spans="25:67" x14ac:dyDescent="0.25">
      <c r="Y59" s="14"/>
      <c r="Z59" s="8"/>
      <c r="AA59" s="41"/>
      <c r="AB59" s="8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9"/>
      <c r="AS59" s="14"/>
      <c r="AT59" s="14"/>
      <c r="AU59" s="14"/>
      <c r="AV59" s="14"/>
      <c r="AW59" s="14"/>
      <c r="AX59" s="14"/>
      <c r="AY59" s="14"/>
      <c r="AZ59" s="14"/>
      <c r="BA59" s="105"/>
      <c r="BB59" s="92"/>
      <c r="BC59" s="115"/>
      <c r="BD59" s="92"/>
      <c r="BE59" s="14"/>
      <c r="BF59" s="124"/>
      <c r="BG59" s="117"/>
      <c r="BH59" s="94"/>
      <c r="BI59" s="94"/>
      <c r="BJ59" s="94"/>
      <c r="BK59" s="94"/>
      <c r="BL59" s="117"/>
      <c r="BM59" s="94"/>
      <c r="BN59" s="117"/>
    </row>
    <row r="60" spans="25:67" x14ac:dyDescent="0.25">
      <c r="Y60" s="40"/>
      <c r="Z60" s="8"/>
      <c r="AA60" s="14"/>
      <c r="AB60" s="8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9"/>
      <c r="AS60" s="14"/>
      <c r="AT60" s="14"/>
      <c r="AU60" s="14"/>
      <c r="AV60" s="14"/>
      <c r="AW60" s="14"/>
      <c r="AX60" s="14"/>
      <c r="AY60" s="14"/>
      <c r="AZ60" s="14"/>
      <c r="BA60" s="106"/>
      <c r="BB60" s="95"/>
      <c r="BC60" s="116"/>
      <c r="BD60" s="95"/>
      <c r="BE60" s="14"/>
      <c r="BF60" s="124"/>
      <c r="BG60" s="117"/>
      <c r="BH60" s="97"/>
      <c r="BI60" s="97"/>
      <c r="BJ60" s="14"/>
      <c r="BK60" s="14"/>
      <c r="BL60" s="9"/>
      <c r="BM60" s="14"/>
    </row>
    <row r="61" spans="25:67" x14ac:dyDescent="0.25">
      <c r="Y61" s="14"/>
      <c r="Z61" s="8"/>
      <c r="AA61" s="14"/>
      <c r="AB61" s="8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9"/>
      <c r="AS61" s="14"/>
      <c r="AT61" s="14"/>
      <c r="AU61" s="14"/>
      <c r="AV61" s="14"/>
      <c r="AW61" s="14"/>
      <c r="AX61" s="14"/>
      <c r="AY61" s="14"/>
      <c r="AZ61" s="14"/>
      <c r="BA61" s="107"/>
      <c r="BB61" s="94"/>
      <c r="BC61" s="117"/>
      <c r="BD61" s="94"/>
      <c r="BE61" s="14"/>
      <c r="BF61" s="125"/>
      <c r="BG61" s="47"/>
      <c r="BH61" s="98"/>
      <c r="BI61" s="98"/>
      <c r="BL61" s="9"/>
      <c r="BM61" s="14"/>
    </row>
    <row r="62" spans="25:67" x14ac:dyDescent="0.25">
      <c r="Y62" s="14"/>
      <c r="Z62" s="14"/>
      <c r="AA62" s="14"/>
      <c r="AB62" s="8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9"/>
      <c r="AS62" s="14"/>
      <c r="AT62" s="14"/>
      <c r="AU62" s="14"/>
      <c r="AV62" s="14"/>
      <c r="AW62" s="14"/>
      <c r="AX62" s="14"/>
      <c r="AY62" s="14"/>
      <c r="AZ62" s="14"/>
      <c r="BA62" s="107"/>
      <c r="BB62" s="97"/>
      <c r="BC62" s="116"/>
      <c r="BD62" s="97"/>
      <c r="BH62" s="90"/>
    </row>
    <row r="63" spans="25:67" x14ac:dyDescent="0.25">
      <c r="Y63" s="40"/>
      <c r="Z63" s="14"/>
      <c r="AA63" s="14"/>
      <c r="AB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9"/>
      <c r="AS63" s="14"/>
      <c r="AT63" s="14"/>
      <c r="AU63" s="14"/>
      <c r="AV63" s="14"/>
      <c r="AW63" s="14"/>
      <c r="AX63" s="14"/>
      <c r="AY63" s="14"/>
      <c r="AZ63" s="14"/>
      <c r="BA63" s="109"/>
      <c r="BB63" s="98"/>
      <c r="BC63" s="47"/>
      <c r="BD63" s="98"/>
      <c r="BG63" s="91"/>
      <c r="BH63" s="91"/>
      <c r="BI63" s="91"/>
      <c r="BJ63" s="99"/>
      <c r="BK63" s="40"/>
      <c r="BL63" s="40"/>
      <c r="BM63" s="99"/>
      <c r="BN63" s="40"/>
    </row>
    <row r="64" spans="25:67" x14ac:dyDescent="0.25">
      <c r="Y64" s="14"/>
      <c r="Z64" s="14"/>
      <c r="AA64" s="14"/>
      <c r="AB64" s="14"/>
      <c r="BB64" s="90"/>
      <c r="BK64" s="41"/>
    </row>
    <row r="65" spans="25:63" x14ac:dyDescent="0.25">
      <c r="Y65" s="14"/>
      <c r="Z65" s="14"/>
      <c r="AA65" s="14"/>
      <c r="AB65" s="14"/>
      <c r="BA65" s="110"/>
      <c r="BB65" s="91"/>
      <c r="BC65" s="91"/>
      <c r="BD65" s="91"/>
      <c r="BH65" s="68"/>
    </row>
    <row r="66" spans="25:63" x14ac:dyDescent="0.25">
      <c r="Y66" s="14"/>
      <c r="Z66" s="14"/>
      <c r="AA66" s="14"/>
      <c r="AB66" s="14"/>
      <c r="BK66" s="68"/>
    </row>
    <row r="67" spans="25:63" x14ac:dyDescent="0.25">
      <c r="Y67" s="9"/>
      <c r="Z67" s="14"/>
      <c r="AA67" s="14"/>
      <c r="AB67" s="14"/>
      <c r="BB67" s="68"/>
      <c r="BI67" s="68"/>
    </row>
    <row r="68" spans="25:63" x14ac:dyDescent="0.25">
      <c r="Y68" s="14"/>
      <c r="Z68" s="14"/>
      <c r="AA68" s="14"/>
      <c r="AB68" s="14"/>
    </row>
    <row r="69" spans="25:63" x14ac:dyDescent="0.25">
      <c r="Y69" s="14"/>
      <c r="Z69" s="14"/>
      <c r="AA69" s="14"/>
      <c r="AB69" s="14"/>
    </row>
    <row r="70" spans="25:63" x14ac:dyDescent="0.25">
      <c r="Y70" s="14"/>
      <c r="Z70" s="14"/>
      <c r="AA70" s="14"/>
      <c r="AB70" s="14"/>
      <c r="BE70" s="150"/>
      <c r="BF70" s="150"/>
      <c r="BG70" s="150"/>
      <c r="BH70" s="150"/>
      <c r="BI70" s="150"/>
    </row>
    <row r="71" spans="25:63" x14ac:dyDescent="0.25">
      <c r="Y71" s="14"/>
      <c r="Z71" s="14"/>
      <c r="AA71" s="14"/>
      <c r="AB71" s="14"/>
      <c r="BE71" s="150"/>
      <c r="BF71" s="150"/>
      <c r="BG71" s="150"/>
      <c r="BH71" s="150"/>
      <c r="BI71" s="150"/>
    </row>
    <row r="72" spans="25:63" x14ac:dyDescent="0.25">
      <c r="Y72" s="14"/>
      <c r="Z72" s="14"/>
      <c r="AA72" s="14"/>
      <c r="AB72" s="14"/>
      <c r="BE72" s="150"/>
      <c r="BF72" s="150"/>
      <c r="BG72" s="150"/>
      <c r="BH72" s="150"/>
      <c r="BI72" s="150"/>
    </row>
    <row r="73" spans="25:63" x14ac:dyDescent="0.25">
      <c r="Y73" s="14"/>
      <c r="Z73" s="14"/>
      <c r="AA73" s="14"/>
      <c r="AB73" s="14"/>
      <c r="BE73" s="150"/>
      <c r="BF73" s="150"/>
      <c r="BG73" s="150"/>
      <c r="BH73" s="150"/>
      <c r="BI73" s="150"/>
    </row>
    <row r="74" spans="25:63" x14ac:dyDescent="0.25">
      <c r="Y74" s="14"/>
      <c r="Z74" s="8"/>
      <c r="AA74" s="14"/>
      <c r="AB74" s="14"/>
      <c r="BE74" s="14"/>
      <c r="BF74" s="14"/>
      <c r="BG74" s="9"/>
      <c r="BH74" s="14"/>
      <c r="BI74" s="14"/>
    </row>
    <row r="75" spans="25:63" x14ac:dyDescent="0.25">
      <c r="Y75" s="14"/>
      <c r="Z75" s="8"/>
      <c r="AA75" s="14"/>
      <c r="AB75" s="14"/>
      <c r="BE75" s="14"/>
      <c r="BF75" s="139"/>
      <c r="BG75" s="137"/>
      <c r="BH75" s="140"/>
      <c r="BI75" s="127"/>
    </row>
    <row r="76" spans="25:63" x14ac:dyDescent="0.25">
      <c r="Y76" s="14"/>
      <c r="Z76" s="8"/>
      <c r="AA76" s="14"/>
      <c r="AB76" s="14"/>
      <c r="BE76" s="14"/>
      <c r="BF76" s="14"/>
      <c r="BG76" s="9"/>
      <c r="BH76" s="14"/>
      <c r="BI76" s="14"/>
    </row>
    <row r="77" spans="25:63" x14ac:dyDescent="0.25">
      <c r="Y77" s="14"/>
      <c r="Z77" s="8"/>
      <c r="AA77" s="14"/>
      <c r="AB77" s="14"/>
      <c r="BE77" s="14"/>
      <c r="BF77" s="14"/>
      <c r="BG77" s="9"/>
      <c r="BH77" s="14"/>
      <c r="BI77" s="14"/>
    </row>
    <row r="78" spans="25:63" x14ac:dyDescent="0.25">
      <c r="Y78" s="14"/>
      <c r="Z78" s="8"/>
      <c r="AA78" s="14"/>
      <c r="AB78" s="14"/>
      <c r="BE78" s="128"/>
      <c r="BF78" s="43"/>
      <c r="BG78" s="43"/>
      <c r="BH78" s="43"/>
      <c r="BI78" s="43"/>
    </row>
    <row r="79" spans="25:63" x14ac:dyDescent="0.25">
      <c r="Y79" s="14"/>
      <c r="Z79" s="8"/>
      <c r="AA79" s="14"/>
      <c r="AB79" s="14"/>
      <c r="BE79" s="129"/>
      <c r="BF79" s="43"/>
      <c r="BG79" s="43"/>
      <c r="BH79" s="43"/>
      <c r="BI79" s="43"/>
    </row>
    <row r="80" spans="25:63" x14ac:dyDescent="0.25">
      <c r="Y80" s="14"/>
      <c r="Z80" s="8"/>
      <c r="AA80" s="14"/>
      <c r="AB80" s="14"/>
      <c r="BE80" s="14"/>
      <c r="BF80" s="130"/>
      <c r="BG80" s="130"/>
      <c r="BH80" s="130"/>
      <c r="BI80" s="130"/>
    </row>
    <row r="81" spans="25:61" x14ac:dyDescent="0.25">
      <c r="Y81" s="14"/>
      <c r="Z81" s="8"/>
      <c r="AA81" s="14"/>
      <c r="AB81" s="14"/>
      <c r="BE81" s="129"/>
      <c r="BF81" s="43"/>
      <c r="BG81" s="43"/>
      <c r="BH81" s="43"/>
      <c r="BI81" s="43"/>
    </row>
    <row r="82" spans="25:61" x14ac:dyDescent="0.25">
      <c r="Y82" s="14"/>
      <c r="Z82" s="8"/>
      <c r="AA82" s="14"/>
      <c r="AB82" s="14"/>
      <c r="BE82" s="14"/>
      <c r="BF82" s="43"/>
      <c r="BG82" s="43"/>
      <c r="BH82" s="43"/>
      <c r="BI82" s="43"/>
    </row>
    <row r="83" spans="25:61" x14ac:dyDescent="0.25">
      <c r="Y83" s="14"/>
      <c r="Z83" s="8"/>
      <c r="AA83" s="14"/>
      <c r="AB83" s="14"/>
      <c r="BE83" s="14"/>
      <c r="BF83" s="43"/>
      <c r="BG83" s="43"/>
      <c r="BH83" s="43"/>
      <c r="BI83" s="43"/>
    </row>
    <row r="84" spans="25:61" x14ac:dyDescent="0.25">
      <c r="Y84" s="14"/>
      <c r="Z84" s="8"/>
      <c r="AA84" s="14"/>
      <c r="AB84" s="14"/>
      <c r="BE84" s="14"/>
      <c r="BF84" s="131"/>
      <c r="BG84" s="138"/>
      <c r="BH84" s="131"/>
      <c r="BI84" s="131"/>
    </row>
    <row r="85" spans="25:61" x14ac:dyDescent="0.25">
      <c r="Y85" s="14"/>
      <c r="Z85" s="8"/>
      <c r="AA85" s="14"/>
      <c r="AB85" s="14"/>
      <c r="BE85" s="129"/>
      <c r="BF85" s="43"/>
      <c r="BG85" s="43"/>
      <c r="BH85" s="43"/>
      <c r="BI85" s="43"/>
    </row>
    <row r="86" spans="25:61" x14ac:dyDescent="0.25">
      <c r="Y86" s="14"/>
      <c r="Z86" s="8"/>
      <c r="AA86" s="14"/>
      <c r="AB86" s="14"/>
      <c r="BE86" s="14"/>
      <c r="BF86" s="43"/>
      <c r="BG86" s="43"/>
      <c r="BH86" s="43"/>
      <c r="BI86" s="43"/>
    </row>
    <row r="87" spans="25:61" x14ac:dyDescent="0.25">
      <c r="Z87" s="14"/>
      <c r="BE87" s="14"/>
      <c r="BF87" s="43"/>
      <c r="BG87" s="43"/>
      <c r="BH87" s="43"/>
      <c r="BI87" s="43"/>
    </row>
    <row r="88" spans="25:61" x14ac:dyDescent="0.25">
      <c r="BE88" s="14"/>
      <c r="BF88" s="43"/>
      <c r="BG88" s="43"/>
      <c r="BH88" s="43"/>
      <c r="BI88" s="43"/>
    </row>
    <row r="89" spans="25:61" x14ac:dyDescent="0.25">
      <c r="BE89" s="14"/>
      <c r="BF89" s="43"/>
      <c r="BG89" s="43"/>
      <c r="BH89" s="43"/>
      <c r="BI89" s="43"/>
    </row>
    <row r="90" spans="25:61" x14ac:dyDescent="0.25">
      <c r="BE90" s="14"/>
      <c r="BF90" s="43"/>
      <c r="BG90" s="43"/>
      <c r="BH90" s="43"/>
      <c r="BI90" s="43"/>
    </row>
    <row r="91" spans="25:61" x14ac:dyDescent="0.25">
      <c r="BE91" s="14"/>
      <c r="BF91" s="43"/>
      <c r="BG91" s="43"/>
      <c r="BH91" s="43"/>
      <c r="BI91" s="43"/>
    </row>
    <row r="92" spans="25:61" x14ac:dyDescent="0.25">
      <c r="BE92" s="132"/>
      <c r="BF92" s="133"/>
      <c r="BG92" s="133"/>
      <c r="BH92" s="133"/>
      <c r="BI92" s="133"/>
    </row>
  </sheetData>
  <mergeCells count="4">
    <mergeCell ref="BE70:BI70"/>
    <mergeCell ref="BE71:BI71"/>
    <mergeCell ref="BE72:BI72"/>
    <mergeCell ref="BE73:BI73"/>
  </mergeCells>
  <dataValidations disablePrompts="1" count="2">
    <dataValidation type="list" allowBlank="1" showInputMessage="1" showErrorMessage="1" sqref="B6">
      <formula1>$WYH$2:$WYH$4</formula1>
    </dataValidation>
    <dataValidation type="list" allowBlank="1" showErrorMessage="1" prompt="_x000a_" sqref="B5">
      <formula1>$WYI$2:$WYI$5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2020-08-31T20:13:39Z</cp:lastPrinted>
  <dcterms:created xsi:type="dcterms:W3CDTF">2017-01-20T01:08:50Z</dcterms:created>
  <dcterms:modified xsi:type="dcterms:W3CDTF">2022-02-28T19:30:33Z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