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gms\GDDS\"/>
    </mc:Choice>
  </mc:AlternateContent>
  <xr:revisionPtr revIDLastSave="0" documentId="13_ncr:1_{48B0CC72-795C-47C5-9343-FB4BA54E923E}" xr6:coauthVersionLast="47" xr6:coauthVersionMax="47" xr10:uidLastSave="{00000000-0000-0000-0000-000000000000}"/>
  <bookViews>
    <workbookView xWindow="-28920" yWindow="-120" windowWidth="29040" windowHeight="15720" tabRatio="685" xr2:uid="{00000000-000D-0000-FFFF-FFFF00000000}"/>
  </bookViews>
  <sheets>
    <sheet name="A" sheetId="2" r:id="rId1"/>
  </sheets>
  <definedNames>
    <definedName name="_xlnm.Print_Area" localSheetId="0">A!$A$1:$W$100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2" l="1"/>
  <c r="P8" i="2" l="1" a="1"/>
  <c r="P8" i="2" s="1"/>
  <c r="P19" i="2"/>
  <c r="P22" i="2"/>
  <c r="P21" i="2"/>
  <c r="P25" i="2"/>
  <c r="P24" i="2"/>
  <c r="P28" i="2"/>
  <c r="P34" i="2"/>
  <c r="P33" i="2"/>
  <c r="P37" i="2"/>
  <c r="P36" i="2"/>
  <c r="P41" i="2"/>
  <c r="P40" i="2"/>
  <c r="P65" i="2"/>
  <c r="P64" i="2"/>
  <c r="P63" i="2"/>
  <c r="P62" i="2"/>
  <c r="P61" i="2"/>
  <c r="P60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88" i="2"/>
  <c r="P87" i="2"/>
  <c r="P86" i="2"/>
  <c r="P85" i="2"/>
  <c r="P84" i="2"/>
  <c r="P83" i="2"/>
  <c r="P96" i="2"/>
  <c r="P94" i="2"/>
  <c r="P92" i="2"/>
  <c r="P90" i="2"/>
  <c r="O11" i="2"/>
  <c r="O12" i="2"/>
  <c r="O10" i="2" s="1"/>
  <c r="O30" i="2" s="1"/>
  <c r="O13" i="2"/>
  <c r="O14" i="2"/>
  <c r="O15" i="2"/>
  <c r="O55" i="2"/>
  <c r="O57" i="2"/>
  <c r="O82" i="2"/>
  <c r="O67" i="2"/>
  <c r="O59" i="2"/>
  <c r="O17" i="2"/>
  <c r="O18" i="2"/>
  <c r="O20" i="2"/>
  <c r="O23" i="2"/>
  <c r="O27" i="2"/>
  <c r="O32" i="2"/>
  <c r="O39" i="2"/>
  <c r="Q82" i="2"/>
  <c r="O45" i="2" l="1"/>
  <c r="O43" i="2"/>
  <c r="H53" i="2"/>
  <c r="I53" i="2"/>
  <c r="J53" i="2"/>
  <c r="K53" i="2"/>
  <c r="L53" i="2"/>
  <c r="M53" i="2"/>
  <c r="N53" i="2"/>
  <c r="N82" i="2"/>
  <c r="N67" i="2"/>
  <c r="N59" i="2"/>
  <c r="N39" i="2"/>
  <c r="N32" i="2"/>
  <c r="N27" i="2"/>
  <c r="N23" i="2"/>
  <c r="N20" i="2"/>
  <c r="N18" i="2" s="1"/>
  <c r="N15" i="2"/>
  <c r="N14" i="2"/>
  <c r="N13" i="2"/>
  <c r="N12" i="2"/>
  <c r="N57" i="2" l="1"/>
  <c r="N17" i="2"/>
  <c r="N55" i="2"/>
  <c r="N11" i="2"/>
  <c r="N10" i="2" s="1"/>
  <c r="N30" i="2" s="1"/>
  <c r="N43" i="2" l="1"/>
  <c r="N45" i="2"/>
  <c r="M12" i="2" l="1"/>
  <c r="M13" i="2"/>
  <c r="M14" i="2"/>
  <c r="M15" i="2"/>
  <c r="M20" i="2"/>
  <c r="M18" i="2" s="1"/>
  <c r="M23" i="2"/>
  <c r="M27" i="2"/>
  <c r="M32" i="2"/>
  <c r="M39" i="2"/>
  <c r="M59" i="2"/>
  <c r="M67" i="2"/>
  <c r="M82" i="2"/>
  <c r="M17" i="2" l="1"/>
  <c r="M57" i="2"/>
  <c r="M11" i="2" s="1"/>
  <c r="M10" i="2" s="1"/>
  <c r="M30" i="2" s="1"/>
  <c r="L82" i="2"/>
  <c r="L67" i="2"/>
  <c r="L59" i="2"/>
  <c r="L39" i="2"/>
  <c r="L32" i="2"/>
  <c r="L27" i="2"/>
  <c r="L23" i="2"/>
  <c r="L20" i="2"/>
  <c r="L15" i="2"/>
  <c r="L14" i="2"/>
  <c r="L13" i="2"/>
  <c r="L12" i="2"/>
  <c r="M55" i="2" l="1"/>
  <c r="M45" i="2"/>
  <c r="M43" i="2"/>
  <c r="L57" i="2"/>
  <c r="L55" i="2" s="1"/>
  <c r="L18" i="2"/>
  <c r="L17" i="2" s="1"/>
  <c r="L11" i="2" l="1"/>
  <c r="L10" i="2" s="1"/>
  <c r="L30" i="2" s="1"/>
  <c r="L45" i="2" s="1"/>
  <c r="L43" i="2" l="1"/>
  <c r="K82" i="2" l="1"/>
  <c r="K67" i="2"/>
  <c r="K59" i="2"/>
  <c r="K39" i="2"/>
  <c r="K32" i="2"/>
  <c r="K27" i="2"/>
  <c r="K23" i="2"/>
  <c r="K20" i="2"/>
  <c r="K15" i="2"/>
  <c r="K14" i="2"/>
  <c r="K13" i="2"/>
  <c r="K12" i="2"/>
  <c r="K18" i="2" l="1"/>
  <c r="K17" i="2" s="1"/>
  <c r="K57" i="2"/>
  <c r="K55" i="2" s="1"/>
  <c r="P23" i="2"/>
  <c r="P20" i="2"/>
  <c r="Q52" i="2"/>
  <c r="J82" i="2"/>
  <c r="J67" i="2"/>
  <c r="J59" i="2"/>
  <c r="J39" i="2"/>
  <c r="J32" i="2"/>
  <c r="J27" i="2"/>
  <c r="J23" i="2"/>
  <c r="J18" i="2" s="1"/>
  <c r="J20" i="2"/>
  <c r="J15" i="2"/>
  <c r="J14" i="2"/>
  <c r="J13" i="2"/>
  <c r="J12" i="2"/>
  <c r="J17" i="2" l="1"/>
  <c r="K11" i="2"/>
  <c r="K10" i="2" s="1"/>
  <c r="K30" i="2" s="1"/>
  <c r="K45" i="2" s="1"/>
  <c r="J57" i="2"/>
  <c r="J11" i="2" s="1"/>
  <c r="J10" i="2" s="1"/>
  <c r="J30" i="2" s="1"/>
  <c r="I19" i="2"/>
  <c r="J55" i="2" l="1"/>
  <c r="K43" i="2"/>
  <c r="J43" i="2"/>
  <c r="J45" i="2"/>
  <c r="U52" i="2"/>
  <c r="G53" i="2"/>
  <c r="V96" i="2" l="1"/>
  <c r="W96" i="2" s="1"/>
  <c r="V94" i="2"/>
  <c r="V92" i="2"/>
  <c r="W92" i="2" s="1"/>
  <c r="V90" i="2"/>
  <c r="V12" i="2" s="1"/>
  <c r="V88" i="2"/>
  <c r="W88" i="2" s="1"/>
  <c r="V87" i="2"/>
  <c r="W87" i="2" s="1"/>
  <c r="V86" i="2"/>
  <c r="W86" i="2" s="1"/>
  <c r="V84" i="2"/>
  <c r="W84" i="2" s="1"/>
  <c r="V80" i="2"/>
  <c r="W80" i="2" s="1"/>
  <c r="V79" i="2"/>
  <c r="W79" i="2" s="1"/>
  <c r="V78" i="2"/>
  <c r="W78" i="2" s="1"/>
  <c r="V77" i="2"/>
  <c r="W77" i="2" s="1"/>
  <c r="V76" i="2"/>
  <c r="W76" i="2" s="1"/>
  <c r="V75" i="2"/>
  <c r="W75" i="2" s="1"/>
  <c r="V74" i="2"/>
  <c r="W74" i="2" s="1"/>
  <c r="V73" i="2"/>
  <c r="W73" i="2" s="1"/>
  <c r="V72" i="2"/>
  <c r="W72" i="2" s="1"/>
  <c r="V71" i="2"/>
  <c r="W71" i="2" s="1"/>
  <c r="V70" i="2"/>
  <c r="W70" i="2" s="1"/>
  <c r="V69" i="2"/>
  <c r="W69" i="2" s="1"/>
  <c r="V68" i="2"/>
  <c r="W68" i="2" s="1"/>
  <c r="V65" i="2"/>
  <c r="W65" i="2" s="1"/>
  <c r="V64" i="2"/>
  <c r="W64" i="2" s="1"/>
  <c r="V62" i="2"/>
  <c r="W62" i="2" s="1"/>
  <c r="V61" i="2"/>
  <c r="W61" i="2" s="1"/>
  <c r="V60" i="2"/>
  <c r="V41" i="2"/>
  <c r="W41" i="2" s="1"/>
  <c r="V40" i="2"/>
  <c r="V36" i="2"/>
  <c r="W36" i="2" s="1"/>
  <c r="V34" i="2"/>
  <c r="W34" i="2" s="1"/>
  <c r="V33" i="2"/>
  <c r="W33" i="2" s="1"/>
  <c r="V28" i="2"/>
  <c r="V27" i="2" s="1"/>
  <c r="V22" i="2"/>
  <c r="V21" i="2"/>
  <c r="W21" i="2" s="1"/>
  <c r="W53" i="2"/>
  <c r="V53" i="2"/>
  <c r="U14" i="2"/>
  <c r="U12" i="2"/>
  <c r="U82" i="2"/>
  <c r="U67" i="2"/>
  <c r="U59" i="2"/>
  <c r="U39" i="2"/>
  <c r="U32" i="2"/>
  <c r="U27" i="2"/>
  <c r="U23" i="2"/>
  <c r="U20" i="2"/>
  <c r="U15" i="2"/>
  <c r="U13" i="2"/>
  <c r="V13" i="2" l="1"/>
  <c r="W13" i="2" s="1"/>
  <c r="V20" i="2"/>
  <c r="W20" i="2" s="1"/>
  <c r="W22" i="2"/>
  <c r="V14" i="2"/>
  <c r="V39" i="2"/>
  <c r="W39" i="2" s="1"/>
  <c r="V15" i="2"/>
  <c r="W15" i="2" s="1"/>
  <c r="W40" i="2"/>
  <c r="W28" i="2"/>
  <c r="W90" i="2"/>
  <c r="V67" i="2"/>
  <c r="W67" i="2" s="1"/>
  <c r="V32" i="2"/>
  <c r="W32" i="2" s="1"/>
  <c r="U18" i="2"/>
  <c r="U17" i="2" s="1"/>
  <c r="W12" i="2"/>
  <c r="U57" i="2"/>
  <c r="U11" i="2" s="1"/>
  <c r="U10" i="2" s="1"/>
  <c r="W27" i="2"/>
  <c r="V37" i="2"/>
  <c r="V85" i="2"/>
  <c r="W85" i="2" s="1"/>
  <c r="V83" i="2"/>
  <c r="V63" i="2"/>
  <c r="V25" i="2"/>
  <c r="W25" i="2" s="1"/>
  <c r="V24" i="2"/>
  <c r="V19" i="2"/>
  <c r="I82" i="2"/>
  <c r="I67" i="2"/>
  <c r="I59" i="2"/>
  <c r="I39" i="2"/>
  <c r="I32" i="2"/>
  <c r="I27" i="2"/>
  <c r="I23" i="2"/>
  <c r="I20" i="2"/>
  <c r="I15" i="2"/>
  <c r="I14" i="2"/>
  <c r="I13" i="2"/>
  <c r="I12" i="2"/>
  <c r="U55" i="2" l="1"/>
  <c r="U30" i="2"/>
  <c r="U43" i="2" s="1"/>
  <c r="I18" i="2"/>
  <c r="I17" i="2" s="1"/>
  <c r="W24" i="2"/>
  <c r="V23" i="2"/>
  <c r="W23" i="2" s="1"/>
  <c r="W19" i="2"/>
  <c r="V82" i="2"/>
  <c r="W82" i="2" s="1"/>
  <c r="W83" i="2"/>
  <c r="V59" i="2"/>
  <c r="W63" i="2"/>
  <c r="I57" i="2"/>
  <c r="I55" i="2" s="1"/>
  <c r="U45" i="2" l="1"/>
  <c r="V18" i="2"/>
  <c r="W18" i="2" s="1"/>
  <c r="I11" i="2"/>
  <c r="I10" i="2" s="1"/>
  <c r="I30" i="2" s="1"/>
  <c r="I43" i="2" s="1"/>
  <c r="W59" i="2"/>
  <c r="V57" i="2"/>
  <c r="V17" i="2" l="1"/>
  <c r="W17" i="2" s="1"/>
  <c r="I45" i="2"/>
  <c r="W57" i="2"/>
  <c r="V11" i="2"/>
  <c r="V55" i="2"/>
  <c r="W55" i="2" s="1"/>
  <c r="V10" i="2" l="1"/>
  <c r="W11" i="2"/>
  <c r="V30" i="2" l="1"/>
  <c r="W10" i="2"/>
  <c r="W30" i="2" l="1"/>
  <c r="V45" i="2"/>
  <c r="W45" i="2" s="1"/>
  <c r="V43" i="2"/>
  <c r="W43" i="2" s="1"/>
  <c r="R53" i="2" l="1"/>
  <c r="R96" i="2"/>
  <c r="R15" i="2" s="1"/>
  <c r="R94" i="2"/>
  <c r="R14" i="2" s="1"/>
  <c r="R92" i="2"/>
  <c r="R13" i="2" s="1"/>
  <c r="R88" i="2"/>
  <c r="R87" i="2"/>
  <c r="R86" i="2"/>
  <c r="R85" i="2"/>
  <c r="R84" i="2"/>
  <c r="R83" i="2"/>
  <c r="P82" i="2"/>
  <c r="H82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S68" i="2" s="1"/>
  <c r="H67" i="2"/>
  <c r="R65" i="2"/>
  <c r="R64" i="2"/>
  <c r="R63" i="2"/>
  <c r="R62" i="2"/>
  <c r="R61" i="2"/>
  <c r="H59" i="2"/>
  <c r="R41" i="2"/>
  <c r="R40" i="2"/>
  <c r="H39" i="2"/>
  <c r="R37" i="2"/>
  <c r="S37" i="2" s="1"/>
  <c r="R34" i="2"/>
  <c r="R33" i="2"/>
  <c r="H32" i="2"/>
  <c r="P27" i="2"/>
  <c r="H27" i="2"/>
  <c r="R25" i="2"/>
  <c r="H23" i="2"/>
  <c r="R22" i="2"/>
  <c r="H20" i="2"/>
  <c r="R19" i="2"/>
  <c r="H15" i="2"/>
  <c r="P14" i="2"/>
  <c r="H14" i="2"/>
  <c r="H13" i="2"/>
  <c r="P12" i="2"/>
  <c r="H12" i="2"/>
  <c r="P53" i="2"/>
  <c r="R67" i="2" l="1"/>
  <c r="H57" i="2"/>
  <c r="H11" i="2" s="1"/>
  <c r="H10" i="2" s="1"/>
  <c r="H18" i="2"/>
  <c r="H17" i="2" s="1"/>
  <c r="P13" i="2"/>
  <c r="P15" i="2"/>
  <c r="P32" i="2"/>
  <c r="P39" i="2"/>
  <c r="H55" i="2"/>
  <c r="P18" i="2"/>
  <c r="P59" i="2"/>
  <c r="R82" i="2"/>
  <c r="Q8" i="2"/>
  <c r="U8" i="2" s="1"/>
  <c r="U53" i="2" s="1"/>
  <c r="R90" i="2"/>
  <c r="R12" i="2" s="1"/>
  <c r="R39" i="2"/>
  <c r="R32" i="2"/>
  <c r="R28" i="2"/>
  <c r="R27" i="2" s="1"/>
  <c r="R24" i="2"/>
  <c r="R23" i="2" s="1"/>
  <c r="R21" i="2"/>
  <c r="R20" i="2" s="1"/>
  <c r="P67" i="2"/>
  <c r="R60" i="2"/>
  <c r="R59" i="2" s="1"/>
  <c r="R36" i="2"/>
  <c r="H30" i="2" l="1"/>
  <c r="H43" i="2" s="1"/>
  <c r="P57" i="2"/>
  <c r="P11" i="2" s="1"/>
  <c r="P10" i="2" s="1"/>
  <c r="R57" i="2"/>
  <c r="R55" i="2" s="1"/>
  <c r="P17" i="2"/>
  <c r="Q53" i="2"/>
  <c r="H45" i="2" l="1"/>
  <c r="P55" i="2"/>
  <c r="R11" i="2"/>
  <c r="R10" i="2" s="1"/>
  <c r="P30" i="2"/>
  <c r="P45" i="2" s="1"/>
  <c r="Q67" i="2"/>
  <c r="Q59" i="2"/>
  <c r="Q39" i="2"/>
  <c r="Q32" i="2"/>
  <c r="Q27" i="2"/>
  <c r="Q23" i="2"/>
  <c r="Q20" i="2"/>
  <c r="Q12" i="2"/>
  <c r="Q13" i="2"/>
  <c r="Q14" i="2"/>
  <c r="Q15" i="2"/>
  <c r="G82" i="2"/>
  <c r="G67" i="2"/>
  <c r="G59" i="2"/>
  <c r="G39" i="2"/>
  <c r="G32" i="2"/>
  <c r="G27" i="2"/>
  <c r="G23" i="2"/>
  <c r="G20" i="2"/>
  <c r="G12" i="2"/>
  <c r="G13" i="2"/>
  <c r="G14" i="2"/>
  <c r="G15" i="2"/>
  <c r="P43" i="2" l="1"/>
  <c r="G18" i="2"/>
  <c r="G17" i="2" s="1"/>
  <c r="Q18" i="2"/>
  <c r="R18" i="2" s="1"/>
  <c r="R17" i="2" s="1"/>
  <c r="R30" i="2" s="1"/>
  <c r="R43" i="2" s="1"/>
  <c r="G57" i="2"/>
  <c r="G11" i="2" s="1"/>
  <c r="G10" i="2" s="1"/>
  <c r="Q57" i="2"/>
  <c r="Q55" i="2" s="1"/>
  <c r="G55" i="2"/>
  <c r="S96" i="2"/>
  <c r="S92" i="2"/>
  <c r="S90" i="2"/>
  <c r="S88" i="2"/>
  <c r="S87" i="2"/>
  <c r="S86" i="2"/>
  <c r="S85" i="2"/>
  <c r="S84" i="2"/>
  <c r="S83" i="2"/>
  <c r="S80" i="2"/>
  <c r="S79" i="2"/>
  <c r="S78" i="2"/>
  <c r="S77" i="2"/>
  <c r="S76" i="2"/>
  <c r="S75" i="2"/>
  <c r="S74" i="2"/>
  <c r="S73" i="2"/>
  <c r="S72" i="2"/>
  <c r="S71" i="2"/>
  <c r="S70" i="2"/>
  <c r="S69" i="2"/>
  <c r="S65" i="2"/>
  <c r="S64" i="2"/>
  <c r="S63" i="2"/>
  <c r="S62" i="2"/>
  <c r="S61" i="2"/>
  <c r="S41" i="2"/>
  <c r="S40" i="2"/>
  <c r="S36" i="2"/>
  <c r="S34" i="2"/>
  <c r="S33" i="2"/>
  <c r="S28" i="2"/>
  <c r="S19" i="2"/>
  <c r="S21" i="2"/>
  <c r="S22" i="2"/>
  <c r="S24" i="2"/>
  <c r="S25" i="2"/>
  <c r="R45" i="2" l="1"/>
  <c r="Q17" i="2"/>
  <c r="Q11" i="2"/>
  <c r="Q10" i="2" s="1"/>
  <c r="G30" i="2"/>
  <c r="G43" i="2" s="1"/>
  <c r="Q30" i="2" l="1"/>
  <c r="Q45" i="2"/>
  <c r="G45" i="2"/>
  <c r="S82" i="2"/>
  <c r="S67" i="2"/>
  <c r="S59" i="2"/>
  <c r="S53" i="2"/>
  <c r="B49" i="2"/>
  <c r="S39" i="2"/>
  <c r="S32" i="2"/>
  <c r="S27" i="2"/>
  <c r="S23" i="2"/>
  <c r="S20" i="2"/>
  <c r="S15" i="2"/>
  <c r="S13" i="2"/>
  <c r="S12" i="2"/>
  <c r="Q43" i="2" l="1"/>
  <c r="S57" i="2"/>
  <c r="S55" i="2" l="1"/>
  <c r="S10" i="2"/>
  <c r="S17" i="2"/>
  <c r="S18" i="2"/>
  <c r="S11" i="2" l="1"/>
  <c r="S30" i="2" l="1"/>
  <c r="S45" i="2"/>
  <c r="S4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<sst xmlns="http://schemas.openxmlformats.org/spreadsheetml/2006/main" count="109" uniqueCount="78">
  <si>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</si>
  <si>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</si>
  <si>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</si>
  <si>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</si>
  <si>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</si>
  <si>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</si>
  <si>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</si>
  <si>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</si>
  <si>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</si>
  <si>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</si>
  <si>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</si>
  <si>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</si>
  <si>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</si>
  <si>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</si>
  <si>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</si>
  <si>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</si>
  <si>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</si>
  <si>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</si>
  <si>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</si>
  <si>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</si>
  <si>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</si>
  <si>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Income and profits</t>
  </si>
  <si>
    <t>Environmental Levy</t>
  </si>
  <si>
    <t>Production and consumption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</si>
  <si>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</si>
  <si>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</si>
  <si>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</si>
  <si>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</si>
  <si>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</si>
  <si>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</si>
  <si>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Bauxite/alumina</t>
  </si>
  <si>
    <t>Other companies</t>
  </si>
  <si>
    <t>PAYE</t>
  </si>
  <si>
    <t>Tax on dividend</t>
  </si>
  <si>
    <t>Other individuals</t>
  </si>
  <si>
    <t>Tax on interest</t>
  </si>
  <si>
    <t>SCT</t>
  </si>
  <si>
    <t>Motor vehicle licenses</t>
  </si>
  <si>
    <t>Other licenses</t>
  </si>
  <si>
    <t>Betting, gaming and lottery</t>
  </si>
  <si>
    <t>Contractors levy</t>
  </si>
  <si>
    <t>GCT (Local)</t>
  </si>
  <si>
    <t>Stamp Duty (Local)</t>
  </si>
  <si>
    <t>Custom Duty</t>
  </si>
  <si>
    <t>Stamp Duty</t>
  </si>
  <si>
    <t>Travel Tax</t>
  </si>
  <si>
    <t>GCT (Imports)</t>
  </si>
  <si>
    <t>SCT (imports)</t>
  </si>
  <si>
    <t>Diff</t>
  </si>
  <si>
    <t xml:space="preserve">CENTRAL GOVERNMENT SUMMARY ACCOUNTS </t>
  </si>
  <si>
    <t>Fiscal Monitoring Table</t>
  </si>
  <si>
    <t>Diff %</t>
  </si>
  <si>
    <t>Education tax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</si>
  <si>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</si>
  <si>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</si>
  <si>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</si>
  <si>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</si>
  <si>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</si>
  <si>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</si>
  <si>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</si>
  <si>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</si>
  <si>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Prov.</t>
  </si>
  <si>
    <t>Other Outflows</t>
  </si>
  <si>
    <t>May</t>
  </si>
  <si>
    <t>FY 2023/24</t>
  </si>
  <si>
    <t>Accommodation Tax</t>
  </si>
  <si>
    <t>June</t>
  </si>
  <si>
    <t>FY 2022/23</t>
  </si>
  <si>
    <t>July</t>
  </si>
  <si>
    <t>August</t>
  </si>
  <si>
    <t>September</t>
  </si>
  <si>
    <t>April</t>
  </si>
  <si>
    <t>October</t>
  </si>
  <si>
    <t>November</t>
  </si>
  <si>
    <t>Third
Supplementary
Estimates</t>
  </si>
  <si>
    <t>December</t>
  </si>
  <si>
    <t>Prov</t>
  </si>
  <si>
    <t>January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</si>
</sst>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64"/>
      </bottom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59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49" fontId="7" fillId="0" borderId="0" xfId="0" applyNumberFormat="1" applyFont="1"/>
    <xf numFmtId="169" fontId="6" fillId="0" borderId="0" xfId="4471" applyNumberFormat="1" applyFont="1" applyFill="1" applyAlignment="1">
      <alignment horizontal="center"/>
    </xf>
    <xf numFmtId="169" fontId="57" fillId="1" borderId="14" xfId="4471" applyNumberFormat="1" applyFont="1" applyFill="1" applyBorder="1" applyAlignment="1">
      <alignment horizontal="center"/>
    </xf>
    <xf numFmtId="169" fontId="57" fillId="1" borderId="15" xfId="4471" applyNumberFormat="1" applyFont="1" applyFill="1" applyBorder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Fill="1" applyAlignment="1">
      <alignment horizontal="center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0" fillId="1" borderId="14" xfId="4012" applyNumberFormat="1" applyFont="1" applyFill="1" applyBorder="1" applyAlignment="1">
      <alignment horizontal="center" vertical="center"/>
    </xf>
    <xf numFmtId="186" fontId="60" fillId="1" borderId="15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57" fillId="1" borderId="15" xfId="4012" applyNumberFormat="1" applyFont="1" applyFill="1" applyBorder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186" fontId="6" fillId="0" borderId="0" xfId="501" applyNumberFormat="1" applyFont="1" applyFill="1" applyAlignment="1">
      <alignment horizontal="center" vertical="center"/>
    </xf>
    <xf numFmtId="186" fontId="6" fillId="0" borderId="0" xfId="501" applyNumberFormat="1" applyFont="1" applyAlignment="1">
      <alignment horizontal="center" vertical="center"/>
    </xf>
    <xf numFmtId="186" fontId="60" fillId="1" borderId="14" xfId="501" applyNumberFormat="1" applyFont="1" applyFill="1" applyBorder="1" applyAlignment="1">
      <alignment horizontal="center" vertical="center"/>
    </xf>
    <xf numFmtId="186" fontId="57" fillId="1" borderId="15" xfId="501" applyNumberFormat="1" applyFont="1" applyFill="1" applyBorder="1" applyAlignment="1">
      <alignment horizontal="center" vertical="center"/>
    </xf>
    <xf numFmtId="186" fontId="7" fillId="0" borderId="0" xfId="501" applyNumberFormat="1" applyFont="1" applyFill="1" applyAlignment="1">
      <alignment horizontal="right" vertical="center" wrapText="1"/>
    </xf>
    <xf numFmtId="186" fontId="6" fillId="0" borderId="0" xfId="501" applyNumberFormat="1" applyFont="1" applyFill="1" applyAlignment="1">
      <alignment horizontal="right" vertical="center" wrapText="1"/>
    </xf>
    <xf numFmtId="186" fontId="6" fillId="0" borderId="0" xfId="501" applyNumberFormat="1" applyFont="1" applyFill="1" applyAlignment="1">
      <alignment horizontal="right" vertical="center"/>
    </xf>
    <xf numFmtId="186" fontId="4" fillId="0" borderId="0" xfId="501" applyNumberFormat="1" applyFont="1" applyFill="1" applyAlignment="1">
      <alignment horizontal="right" vertical="center" wrapText="1"/>
    </xf>
    <xf numFmtId="186" fontId="5" fillId="0" borderId="0" xfId="501" applyNumberFormat="1" applyFont="1" applyFill="1" applyAlignment="1">
      <alignment horizontal="right" vertical="center" wrapText="1"/>
    </xf>
    <xf numFmtId="186" fontId="6" fillId="0" borderId="13" xfId="501" applyNumberFormat="1" applyFont="1" applyFill="1" applyBorder="1" applyAlignment="1">
      <alignment horizontal="center" vertical="center"/>
    </xf>
    <xf numFmtId="186" fontId="60" fillId="1" borderId="15" xfId="501" applyNumberFormat="1" applyFont="1" applyFill="1" applyBorder="1" applyAlignment="1">
      <alignment horizontal="center" vertical="center"/>
    </xf>
    <xf numFmtId="186" fontId="6" fillId="0" borderId="0" xfId="501" applyNumberFormat="1" applyFont="1" applyAlignment="1">
      <alignment horizontal="right" vertical="center"/>
    </xf>
    <xf numFmtId="186" fontId="7" fillId="0" borderId="0" xfId="501" applyNumberFormat="1" applyFont="1" applyAlignment="1">
      <alignment horizontal="center" vertical="center"/>
    </xf>
    <xf numFmtId="184" fontId="4" fillId="0" borderId="0" xfId="4012" applyNumberFormat="1" applyFont="1" applyFill="1" applyBorder="1" applyAlignment="1">
      <alignment horizontal="right" vertical="center" wrapText="1"/>
    </xf>
    <xf numFmtId="168" fontId="6" fillId="0" borderId="0" xfId="0" applyNumberFormat="1" applyFont="1"/>
    <xf numFmtId="186" fontId="6" fillId="0" borderId="0" xfId="4012" applyNumberFormat="1" applyFont="1" applyFill="1" applyBorder="1" applyAlignment="1">
      <alignment horizontal="center" vertical="center"/>
    </xf>
    <xf numFmtId="186" fontId="6" fillId="0" borderId="0" xfId="501" applyNumberFormat="1" applyFont="1" applyFill="1" applyBorder="1" applyAlignment="1">
      <alignment horizontal="center" vertical="center"/>
    </xf>
    <xf numFmtId="185" fontId="6" fillId="0" borderId="0" xfId="4012" applyNumberFormat="1" applyFont="1" applyFill="1" applyBorder="1" applyAlignment="1">
      <alignment horizontal="center" vertical="center"/>
    </xf>
    <xf numFmtId="184" fontId="57" fillId="1" borderId="14" xfId="0" applyNumberFormat="1" applyFont="1" applyFill="1" applyBorder="1" applyAlignment="1">
      <alignment horizontal="center" wrapText="1"/>
    </xf>
    <xf numFmtId="0" fontId="6" fillId="0" borderId="27" xfId="0" applyFont="1" applyBorder="1"/>
    <xf numFmtId="0" fontId="7" fillId="0" borderId="27" xfId="0" applyFont="1" applyBorder="1"/>
    <xf numFmtId="0" fontId="5" fillId="0" borderId="27" xfId="0" applyFont="1" applyBorder="1"/>
    <xf numFmtId="186" fontId="7" fillId="0" borderId="27" xfId="4012" applyNumberFormat="1" applyFont="1" applyFill="1" applyBorder="1" applyAlignment="1">
      <alignment horizontal="right" vertical="center" wrapText="1"/>
    </xf>
    <xf numFmtId="186" fontId="7" fillId="0" borderId="27" xfId="501" applyNumberFormat="1" applyFont="1" applyFill="1" applyBorder="1" applyAlignment="1">
      <alignment horizontal="right" vertical="center" wrapText="1"/>
    </xf>
    <xf numFmtId="186" fontId="5" fillId="0" borderId="27" xfId="501" applyNumberFormat="1" applyFont="1" applyFill="1" applyBorder="1" applyAlignment="1">
      <alignment horizontal="right" vertical="center" wrapText="1"/>
    </xf>
    <xf numFmtId="169" fontId="7" fillId="0" borderId="27" xfId="4471" applyNumberFormat="1" applyFont="1" applyFill="1" applyBorder="1" applyAlignment="1">
      <alignment horizontal="right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W99"/>
  <sheetViews>
    <sheetView showGridLines="0" tabSelected="1" view="pageBreakPreview" topLeftCell="B1" zoomScale="60" zoomScaleNormal="80" workbookViewId="0">
      <pane xSplit="4" ySplit="8" topLeftCell="F9" activePane="bottomRight" state="frozen"/>
      <selection activeCell="B1" sqref="B1"/>
      <selection pane="topRight" activeCell="F1" sqref="F1"/>
      <selection pane="bottomLeft" activeCell="B9" sqref="B9"/>
      <selection pane="bottomRight" activeCell="AB16" sqref="AB16"/>
    </sheetView>
  </sheetViews>
  <sheetFormatPr defaultColWidth="8.90625" defaultRowHeight="15.6" x14ac:dyDescent="0.3"/>
  <cols>
    <col min="1" max="1" width="2.36328125" style="4" customWidth="1"/>
    <col min="2" max="3" width="2.1796875" style="4" customWidth="1"/>
    <col min="4" max="4" width="3" style="4" customWidth="1"/>
    <col min="5" max="5" width="40.54296875" style="4" customWidth="1"/>
    <col min="6" max="6" width="4.453125" style="4" customWidth="1"/>
    <col min="7" max="7" width="11.6328125" style="21" customWidth="1"/>
    <col min="8" max="8" width="11.6328125" style="34" customWidth="1"/>
    <col min="9" max="9" width="12.81640625" style="34" customWidth="1"/>
    <col min="10" max="10" width="15.6328125" style="34" customWidth="1"/>
    <col min="11" max="11" width="11.6328125" style="34" customWidth="1"/>
    <col min="12" max="15" width="13.6328125" style="34" customWidth="1"/>
    <col min="16" max="16" width="19.453125" style="34" customWidth="1"/>
    <col min="17" max="17" width="19.453125" style="21" customWidth="1"/>
    <col min="18" max="18" width="11.08984375" style="34" bestFit="1" customWidth="1"/>
    <col min="19" max="19" width="11.90625" style="10" customWidth="1"/>
    <col min="20" max="20" width="1.453125" style="4" customWidth="1"/>
    <col min="21" max="21" width="19.453125" style="34" customWidth="1"/>
    <col min="22" max="22" width="14.54296875" style="34" customWidth="1"/>
    <col min="23" max="23" width="10.90625" style="10" bestFit="1" customWidth="1"/>
    <col min="24" max="24" width="8.90625" style="4"/>
    <col min="25" max="25" width="10.54296875" style="4" customWidth="1"/>
    <col min="26" max="16384" width="8.90625" style="4"/>
  </cols>
  <sheetData>
    <row r="2" spans="2:23" x14ac:dyDescent="0.3">
      <c r="B2" s="5" t="s">
        <v>49</v>
      </c>
      <c r="C2" s="6"/>
      <c r="D2" s="2"/>
      <c r="E2" s="2"/>
      <c r="F2" s="2"/>
      <c r="G2" s="20"/>
      <c r="H2" s="33"/>
      <c r="I2" s="33"/>
      <c r="J2" s="33"/>
      <c r="K2" s="33"/>
      <c r="L2" s="33"/>
      <c r="M2" s="33"/>
      <c r="N2" s="33"/>
      <c r="O2" s="33"/>
      <c r="P2" s="33"/>
      <c r="Q2" s="20"/>
      <c r="R2" s="33"/>
      <c r="U2" s="33"/>
      <c r="V2" s="33"/>
    </row>
    <row r="3" spans="2:23" x14ac:dyDescent="0.3">
      <c r="B3" s="5" t="s">
        <v>50</v>
      </c>
      <c r="C3" s="6"/>
      <c r="D3" s="2"/>
      <c r="E3" s="2"/>
      <c r="F3" s="2"/>
      <c r="G3" s="20"/>
      <c r="H3" s="33"/>
      <c r="I3" s="33"/>
      <c r="J3" s="33"/>
      <c r="K3" s="33"/>
      <c r="L3" s="33"/>
      <c r="M3" s="33"/>
      <c r="N3" s="33"/>
      <c r="O3" s="33"/>
      <c r="P3" s="33"/>
      <c r="Q3" s="20"/>
      <c r="R3" s="33"/>
      <c r="U3" s="33"/>
      <c r="V3" s="33"/>
    </row>
    <row r="4" spans="2:23" x14ac:dyDescent="0.3">
      <c r="B4" s="5" t="s">
        <v>64</v>
      </c>
      <c r="C4" s="2"/>
      <c r="D4" s="2"/>
      <c r="E4" s="2"/>
      <c r="G4" s="20"/>
      <c r="H4" s="33"/>
      <c r="I4" s="33"/>
      <c r="J4" s="33"/>
      <c r="K4" s="33"/>
      <c r="L4" s="33"/>
      <c r="M4" s="33"/>
      <c r="N4" s="33"/>
      <c r="O4" s="33"/>
      <c r="P4" s="33"/>
      <c r="Q4" s="20"/>
      <c r="R4" s="33"/>
      <c r="U4" s="33"/>
      <c r="V4" s="33"/>
    </row>
    <row r="5" spans="2:23" x14ac:dyDescent="0.3">
      <c r="B5" s="2" t="s">
        <v>14</v>
      </c>
      <c r="C5" s="2"/>
      <c r="D5" s="2"/>
      <c r="E5" s="2"/>
      <c r="F5" s="2"/>
    </row>
    <row r="6" spans="2:23" x14ac:dyDescent="0.3">
      <c r="B6" s="2"/>
      <c r="D6" s="2"/>
      <c r="E6" s="2"/>
      <c r="F6" s="2"/>
      <c r="G6" s="20"/>
      <c r="H6" s="33"/>
      <c r="I6" s="33"/>
      <c r="J6" s="33"/>
      <c r="K6" s="33"/>
      <c r="L6" s="33"/>
      <c r="M6" s="33"/>
      <c r="N6" s="33"/>
      <c r="O6" s="33"/>
      <c r="P6" s="33"/>
      <c r="Q6" s="20"/>
      <c r="R6" s="33"/>
      <c r="U6" s="33"/>
      <c r="V6" s="33"/>
    </row>
    <row r="7" spans="2:23" ht="54" customHeight="1" x14ac:dyDescent="0.35">
      <c r="B7" s="7"/>
      <c r="C7" s="7"/>
      <c r="D7" s="7"/>
      <c r="E7" s="7"/>
      <c r="F7" s="7"/>
      <c r="G7" s="22" t="s">
        <v>61</v>
      </c>
      <c r="H7" s="35" t="s">
        <v>61</v>
      </c>
      <c r="I7" s="35" t="s">
        <v>61</v>
      </c>
      <c r="J7" s="35" t="s">
        <v>61</v>
      </c>
      <c r="K7" s="35" t="s">
        <v>61</v>
      </c>
      <c r="L7" s="35" t="s">
        <v>61</v>
      </c>
      <c r="M7" s="35" t="s">
        <v>61</v>
      </c>
      <c r="N7" s="35" t="s">
        <v>61</v>
      </c>
      <c r="O7" s="35" t="s">
        <v>76</v>
      </c>
      <c r="P7" s="35" t="s">
        <v>61</v>
      </c>
      <c r="Q7" s="51" t="s">
        <v>74</v>
      </c>
      <c r="R7" s="35"/>
      <c r="S7" s="11"/>
      <c r="T7" s="11"/>
      <c r="U7" s="35" t="s">
        <v>67</v>
      </c>
      <c r="V7" s="35"/>
      <c r="W7" s="11"/>
    </row>
    <row r="8" spans="2:23" ht="18" x14ac:dyDescent="0.35">
      <c r="B8" s="8" t="s">
        <v>0</v>
      </c>
      <c r="C8" s="8"/>
      <c r="D8" s="8"/>
      <c r="E8" s="8"/>
      <c r="F8" s="8"/>
      <c r="G8" s="31" t="s">
        <v>71</v>
      </c>
      <c r="H8" s="36" t="s">
        <v>63</v>
      </c>
      <c r="I8" s="36" t="s">
        <v>66</v>
      </c>
      <c r="J8" s="36" t="s">
        <v>68</v>
      </c>
      <c r="K8" s="36" t="s">
        <v>69</v>
      </c>
      <c r="L8" s="36" t="s">
        <v>70</v>
      </c>
      <c r="M8" s="36" t="s">
        <v>72</v>
      </c>
      <c r="N8" s="36" t="s">
        <v>73</v>
      </c>
      <c r="O8" s="36" t="s">
        <v>75</v>
      </c>
      <c r="P8" s="36" t="str" cm="1">
        <f t="array" ref="P8">IF(O8="",F8,"April-"&amp;LOOKUP(2,1/(F8:O8&lt;&gt;""),F8:O8))</f>
        <v>April-December</v>
      </c>
      <c r="Q8" s="31" t="str">
        <f>P8</f>
        <v>April-December</v>
      </c>
      <c r="R8" s="36" t="s">
        <v>48</v>
      </c>
      <c r="S8" s="12" t="s">
        <v>51</v>
      </c>
      <c r="T8" s="12"/>
      <c r="U8" s="36" t="str">
        <f>Q8</f>
        <v>April-December</v>
      </c>
      <c r="V8" s="36" t="s">
        <v>48</v>
      </c>
      <c r="W8" s="12" t="s">
        <v>51</v>
      </c>
    </row>
    <row r="10" spans="2:23" x14ac:dyDescent="0.3">
      <c r="B10" s="5" t="s">
        <v>1</v>
      </c>
      <c r="C10" s="2"/>
      <c r="D10" s="2"/>
      <c r="E10" s="2"/>
      <c r="F10" s="2"/>
      <c r="G10" s="26">
        <f t="shared" ref="G10" si="0">SUM(G11:G15)</f>
        <v>60267.499365906202</v>
      </c>
      <c r="H10" s="37">
        <f t="shared" ref="H10:I10" si="1">SUM(H11:H15)</f>
        <v>69521.43259801509</v>
      </c>
      <c r="I10" s="37">
        <f t="shared" si="1"/>
        <v>76669.955524869714</v>
      </c>
      <c r="J10" s="37">
        <f t="shared" ref="J10" si="2">SUM(J11:J15)</f>
        <v>74126.865332867397</v>
      </c>
      <c r="K10" s="37">
        <f t="shared" ref="K10:M10" si="3">SUM(K11:K15)</f>
        <v>66773.118676906917</v>
      </c>
      <c r="L10" s="37">
        <f t="shared" si="3"/>
        <v>79737.753696928397</v>
      </c>
      <c r="M10" s="37">
        <f t="shared" si="3"/>
        <v>67374.260240723612</v>
      </c>
      <c r="N10" s="37">
        <f t="shared" ref="N10:O10" si="4">SUM(N11:N15)</f>
        <v>67792.310132980681</v>
      </c>
      <c r="O10" s="37">
        <f t="shared" si="4"/>
        <v>78091.48924786436</v>
      </c>
      <c r="P10" s="37">
        <f t="shared" ref="P10" si="5">SUM(P11:P15)</f>
        <v>640354.68481706223</v>
      </c>
      <c r="Q10" s="26">
        <f t="shared" ref="Q10" si="6">SUM(Q11:Q15)</f>
        <v>649684.64384143427</v>
      </c>
      <c r="R10" s="37">
        <f t="shared" ref="R10" si="7">SUM(R11:R15)</f>
        <v>-9329.9590243719213</v>
      </c>
      <c r="S10" s="13">
        <f t="shared" ref="S10:S15" si="8">R10/ABS(Q10)</f>
        <v>-1.4360750423784133E-2</v>
      </c>
      <c r="U10" s="37">
        <f t="shared" ref="U10:V10" si="9">SUM(U11:U15)</f>
        <v>567607.88931560901</v>
      </c>
      <c r="V10" s="37">
        <f t="shared" si="9"/>
        <v>72746.795501453336</v>
      </c>
      <c r="W10" s="13">
        <f t="shared" ref="W10:W15" si="10">V10/ABS(U10)</f>
        <v>0.12816382025480214</v>
      </c>
    </row>
    <row r="11" spans="2:23" x14ac:dyDescent="0.3">
      <c r="B11" s="2"/>
      <c r="C11" s="2" t="s">
        <v>9</v>
      </c>
      <c r="D11" s="2"/>
      <c r="E11" s="2"/>
      <c r="F11" s="2"/>
      <c r="G11" s="24">
        <f t="shared" ref="G11:R11" si="11">G57</f>
        <v>57703.017859810003</v>
      </c>
      <c r="H11" s="38">
        <f t="shared" si="11"/>
        <v>62859.132922199999</v>
      </c>
      <c r="I11" s="38">
        <f t="shared" si="11"/>
        <v>68409.971422490009</v>
      </c>
      <c r="J11" s="38">
        <f t="shared" ref="J11" si="12">J57</f>
        <v>67399.153127380006</v>
      </c>
      <c r="K11" s="38">
        <f t="shared" ref="K11:L11" si="13">K57</f>
        <v>60563.870027937315</v>
      </c>
      <c r="L11" s="38">
        <f t="shared" si="13"/>
        <v>73159.117633670001</v>
      </c>
      <c r="M11" s="38">
        <f t="shared" ref="M11:N11" si="14">M57</f>
        <v>59756.305239380003</v>
      </c>
      <c r="N11" s="38">
        <f t="shared" si="14"/>
        <v>62377.608524650001</v>
      </c>
      <c r="O11" s="38">
        <f t="shared" ref="O11" si="15">O57</f>
        <v>69539.005701892296</v>
      </c>
      <c r="P11" s="38">
        <f t="shared" si="11"/>
        <v>581767.18245940958</v>
      </c>
      <c r="Q11" s="24">
        <f t="shared" si="11"/>
        <v>590554.94350201986</v>
      </c>
      <c r="R11" s="38">
        <f t="shared" si="11"/>
        <v>-8787.7610426103129</v>
      </c>
      <c r="S11" s="14">
        <f t="shared" si="8"/>
        <v>-1.4880513895114411E-2</v>
      </c>
      <c r="U11" s="38">
        <f>U57</f>
        <v>519335.67523118999</v>
      </c>
      <c r="V11" s="38">
        <f>V57</f>
        <v>62431.507228219576</v>
      </c>
      <c r="W11" s="14">
        <f t="shared" si="10"/>
        <v>0.12021417015194895</v>
      </c>
    </row>
    <row r="12" spans="2:23" x14ac:dyDescent="0.3">
      <c r="B12" s="2"/>
      <c r="C12" s="2" t="s">
        <v>15</v>
      </c>
      <c r="D12" s="2"/>
      <c r="E12" s="2"/>
      <c r="F12" s="2"/>
      <c r="G12" s="24">
        <f t="shared" ref="G12:R12" si="16">G90</f>
        <v>2426.0072344700002</v>
      </c>
      <c r="H12" s="38">
        <f t="shared" si="16"/>
        <v>5800.9510120599998</v>
      </c>
      <c r="I12" s="38">
        <f t="shared" si="16"/>
        <v>7596.1362710900003</v>
      </c>
      <c r="J12" s="38">
        <f t="shared" ref="J12" si="17">J90</f>
        <v>6170.1995338599982</v>
      </c>
      <c r="K12" s="38">
        <f t="shared" ref="K12:L12" si="18">K90</f>
        <v>4097.9908135899996</v>
      </c>
      <c r="L12" s="38">
        <f t="shared" si="18"/>
        <v>6398.2002387053999</v>
      </c>
      <c r="M12" s="38">
        <f t="shared" ref="M12:N12" si="19">M90</f>
        <v>6984.7139199100002</v>
      </c>
      <c r="N12" s="38">
        <f t="shared" si="19"/>
        <v>5010.2063831102796</v>
      </c>
      <c r="O12" s="38">
        <f t="shared" ref="O12" si="20">O90</f>
        <v>7152.2575115044638</v>
      </c>
      <c r="P12" s="38">
        <f t="shared" si="16"/>
        <v>51636.662918300135</v>
      </c>
      <c r="Q12" s="24">
        <f t="shared" si="16"/>
        <v>50612.258335169347</v>
      </c>
      <c r="R12" s="38">
        <f t="shared" si="16"/>
        <v>1024.4045831307885</v>
      </c>
      <c r="S12" s="14">
        <f t="shared" si="8"/>
        <v>2.0240246470467259E-2</v>
      </c>
      <c r="U12" s="38">
        <f>U90</f>
        <v>42318.936183345773</v>
      </c>
      <c r="V12" s="38">
        <f>V90</f>
        <v>9317.7267349543617</v>
      </c>
      <c r="W12" s="14">
        <f t="shared" si="10"/>
        <v>0.22017866173633321</v>
      </c>
    </row>
    <row r="13" spans="2:23" x14ac:dyDescent="0.3">
      <c r="B13" s="2"/>
      <c r="C13" s="2" t="s">
        <v>11</v>
      </c>
      <c r="D13" s="2"/>
      <c r="E13" s="2"/>
      <c r="F13" s="2"/>
      <c r="G13" s="24">
        <f t="shared" ref="G13:R13" si="21">G92</f>
        <v>0</v>
      </c>
      <c r="H13" s="38">
        <f t="shared" si="21"/>
        <v>224.20730949</v>
      </c>
      <c r="I13" s="38">
        <f t="shared" si="21"/>
        <v>0</v>
      </c>
      <c r="J13" s="38">
        <f t="shared" ref="J13" si="22">J92</f>
        <v>203.84190423000001</v>
      </c>
      <c r="K13" s="38">
        <f t="shared" ref="K13:L13" si="23">K92</f>
        <v>102.25283014999999</v>
      </c>
      <c r="L13" s="38">
        <f t="shared" si="23"/>
        <v>102.08767881999999</v>
      </c>
      <c r="M13" s="38">
        <f t="shared" ref="M13:N13" si="24">M92</f>
        <v>102.6175284</v>
      </c>
      <c r="N13" s="38">
        <f t="shared" si="24"/>
        <v>102.67890221</v>
      </c>
      <c r="O13" s="38">
        <f t="shared" ref="O13" si="25">O92</f>
        <v>102.50278892</v>
      </c>
      <c r="P13" s="38">
        <f t="shared" si="21"/>
        <v>940.18894221999994</v>
      </c>
      <c r="Q13" s="24">
        <f t="shared" si="21"/>
        <v>971.49046126482756</v>
      </c>
      <c r="R13" s="38">
        <f t="shared" si="21"/>
        <v>-31.301519044827614</v>
      </c>
      <c r="S13" s="14">
        <f t="shared" si="8"/>
        <v>-3.2220099211344541E-2</v>
      </c>
      <c r="U13" s="38">
        <f>U92</f>
        <v>926.02747656000008</v>
      </c>
      <c r="V13" s="38">
        <f>V92</f>
        <v>14.161465659999863</v>
      </c>
      <c r="W13" s="14">
        <f t="shared" si="10"/>
        <v>1.5292705690123547E-2</v>
      </c>
    </row>
    <row r="14" spans="2:23" x14ac:dyDescent="0.3">
      <c r="B14" s="2"/>
      <c r="C14" s="2" t="s">
        <v>16</v>
      </c>
      <c r="D14" s="2"/>
      <c r="E14" s="2"/>
      <c r="F14" s="2"/>
      <c r="G14" s="24">
        <f t="shared" ref="G14:R14" si="26">G94</f>
        <v>0</v>
      </c>
      <c r="H14" s="38">
        <f t="shared" si="26"/>
        <v>0</v>
      </c>
      <c r="I14" s="38">
        <f t="shared" si="26"/>
        <v>0</v>
      </c>
      <c r="J14" s="38">
        <f t="shared" ref="J14" si="27">J94</f>
        <v>0</v>
      </c>
      <c r="K14" s="38">
        <f t="shared" ref="K14:L14" si="28">K94</f>
        <v>0</v>
      </c>
      <c r="L14" s="38">
        <f t="shared" si="28"/>
        <v>0</v>
      </c>
      <c r="M14" s="38">
        <f t="shared" ref="M14:N14" si="29">M94</f>
        <v>0</v>
      </c>
      <c r="N14" s="38">
        <f t="shared" si="29"/>
        <v>0</v>
      </c>
      <c r="O14" s="38">
        <f t="shared" ref="O14" si="30">O94</f>
        <v>0</v>
      </c>
      <c r="P14" s="38">
        <f t="shared" si="26"/>
        <v>0</v>
      </c>
      <c r="Q14" s="24">
        <f t="shared" si="26"/>
        <v>0</v>
      </c>
      <c r="R14" s="38">
        <f t="shared" si="26"/>
        <v>0</v>
      </c>
      <c r="S14" s="14">
        <v>0</v>
      </c>
      <c r="T14" s="46"/>
      <c r="U14" s="38">
        <f>U94</f>
        <v>0</v>
      </c>
      <c r="V14" s="38">
        <f>V94</f>
        <v>0</v>
      </c>
      <c r="W14" s="14">
        <v>0</v>
      </c>
    </row>
    <row r="15" spans="2:23" x14ac:dyDescent="0.3">
      <c r="B15" s="2"/>
      <c r="C15" s="2" t="s">
        <v>13</v>
      </c>
      <c r="D15" s="2"/>
      <c r="E15" s="2"/>
      <c r="F15" s="2"/>
      <c r="G15" s="24">
        <f t="shared" ref="G15:R15" si="31">G96</f>
        <v>138.47427162620002</v>
      </c>
      <c r="H15" s="38">
        <f t="shared" si="31"/>
        <v>637.14135426509995</v>
      </c>
      <c r="I15" s="38">
        <f t="shared" si="31"/>
        <v>663.84783128970003</v>
      </c>
      <c r="J15" s="38">
        <f t="shared" ref="J15" si="32">J96</f>
        <v>353.67076739739997</v>
      </c>
      <c r="K15" s="38">
        <f t="shared" ref="K15:L15" si="33">K96</f>
        <v>2009.0050052295999</v>
      </c>
      <c r="L15" s="38">
        <f t="shared" si="33"/>
        <v>78.348145732999996</v>
      </c>
      <c r="M15" s="38">
        <f t="shared" ref="M15:N15" si="34">M96</f>
        <v>530.62355303360005</v>
      </c>
      <c r="N15" s="38">
        <f t="shared" si="34"/>
        <v>301.81632301039997</v>
      </c>
      <c r="O15" s="38">
        <f t="shared" ref="O15" si="35">O96</f>
        <v>1297.7232455476001</v>
      </c>
      <c r="P15" s="38">
        <f t="shared" si="31"/>
        <v>6010.6504971325994</v>
      </c>
      <c r="Q15" s="24">
        <f t="shared" si="31"/>
        <v>7545.9515429801695</v>
      </c>
      <c r="R15" s="38">
        <f t="shared" si="31"/>
        <v>-1535.3010458475701</v>
      </c>
      <c r="S15" s="14">
        <f t="shared" si="8"/>
        <v>-0.20346023123827589</v>
      </c>
      <c r="U15" s="38">
        <f>U96</f>
        <v>5027.2504245132004</v>
      </c>
      <c r="V15" s="38">
        <f>V96</f>
        <v>983.400072619399</v>
      </c>
      <c r="W15" s="14">
        <f t="shared" si="10"/>
        <v>0.19561390214903085</v>
      </c>
    </row>
    <row r="16" spans="2:23" x14ac:dyDescent="0.3">
      <c r="B16" s="2"/>
      <c r="C16" s="2"/>
      <c r="D16" s="2"/>
      <c r="E16" s="2"/>
      <c r="F16" s="2"/>
      <c r="G16" s="25"/>
      <c r="H16" s="39"/>
      <c r="I16" s="39"/>
      <c r="J16" s="39"/>
      <c r="K16" s="39"/>
      <c r="L16" s="39"/>
      <c r="M16" s="39"/>
      <c r="N16" s="39"/>
      <c r="O16" s="39"/>
      <c r="P16" s="39"/>
      <c r="Q16" s="25"/>
      <c r="R16" s="39"/>
      <c r="S16" s="14"/>
      <c r="U16" s="39"/>
      <c r="V16" s="39"/>
      <c r="W16" s="14"/>
    </row>
    <row r="17" spans="2:23" s="5" customFormat="1" x14ac:dyDescent="0.3">
      <c r="B17" s="5" t="s">
        <v>2</v>
      </c>
      <c r="C17" s="6"/>
      <c r="D17" s="6"/>
      <c r="E17" s="6"/>
      <c r="F17" s="6"/>
      <c r="G17" s="26">
        <f t="shared" ref="G17:R17" si="36">G18+G27</f>
        <v>78416.067228860004</v>
      </c>
      <c r="H17" s="37">
        <f t="shared" si="36"/>
        <v>69934.005114900021</v>
      </c>
      <c r="I17" s="37">
        <f t="shared" ref="I17:J17" si="37">I18+I27</f>
        <v>72873.785781209997</v>
      </c>
      <c r="J17" s="37">
        <f t="shared" si="37"/>
        <v>77796.889416169928</v>
      </c>
      <c r="K17" s="37">
        <f t="shared" ref="K17:M17" si="38">K18+K27</f>
        <v>81899.783212859998</v>
      </c>
      <c r="L17" s="37">
        <f t="shared" si="38"/>
        <v>73851.393047900085</v>
      </c>
      <c r="M17" s="37">
        <f t="shared" si="38"/>
        <v>75214.669124029984</v>
      </c>
      <c r="N17" s="37">
        <f t="shared" ref="N17:O17" si="39">N18+N27</f>
        <v>68851.337796529886</v>
      </c>
      <c r="O17" s="37">
        <f t="shared" si="39"/>
        <v>74762.192706150032</v>
      </c>
      <c r="P17" s="37">
        <f t="shared" si="36"/>
        <v>673600.12342860992</v>
      </c>
      <c r="Q17" s="26">
        <f t="shared" si="36"/>
        <v>680762.81434563035</v>
      </c>
      <c r="R17" s="37">
        <f t="shared" si="36"/>
        <v>-7162.6909170204817</v>
      </c>
      <c r="S17" s="13">
        <f>R17/ABS(Q17)</f>
        <v>-1.0521566052202006E-2</v>
      </c>
      <c r="U17" s="37">
        <f t="shared" ref="U17:V17" si="40">U18+U27</f>
        <v>552649.83930122002</v>
      </c>
      <c r="V17" s="37">
        <f t="shared" si="40"/>
        <v>120950.28412738998</v>
      </c>
      <c r="W17" s="13">
        <f>V17/ABS(U17)</f>
        <v>0.2188551873647907</v>
      </c>
    </row>
    <row r="18" spans="2:23" x14ac:dyDescent="0.3">
      <c r="B18" s="2"/>
      <c r="C18" s="2" t="s">
        <v>17</v>
      </c>
      <c r="D18" s="2"/>
      <c r="E18" s="2"/>
      <c r="F18" s="2"/>
      <c r="G18" s="24">
        <f t="shared" ref="G18:Q18" si="41">G19+G20+G23</f>
        <v>71846.313838050002</v>
      </c>
      <c r="H18" s="38">
        <f t="shared" si="41"/>
        <v>66603.889334080028</v>
      </c>
      <c r="I18" s="38">
        <f t="shared" si="41"/>
        <v>70136.355754489996</v>
      </c>
      <c r="J18" s="38">
        <f t="shared" si="41"/>
        <v>75831.00935057993</v>
      </c>
      <c r="K18" s="38">
        <f t="shared" si="41"/>
        <v>78048.523355569996</v>
      </c>
      <c r="L18" s="38">
        <f t="shared" ref="L18:M18" si="42">L19+L20+L23</f>
        <v>69968.411142450088</v>
      </c>
      <c r="M18" s="38">
        <f t="shared" si="42"/>
        <v>71002.372015399989</v>
      </c>
      <c r="N18" s="38">
        <f t="shared" ref="N18:O18" si="43">N19+N20+N23</f>
        <v>64207.426332159877</v>
      </c>
      <c r="O18" s="38">
        <f t="shared" si="43"/>
        <v>69070.340626480029</v>
      </c>
      <c r="P18" s="38">
        <f t="shared" si="41"/>
        <v>636714.6417492599</v>
      </c>
      <c r="Q18" s="24">
        <f t="shared" si="41"/>
        <v>641745.06910842622</v>
      </c>
      <c r="R18" s="38">
        <f>P18-Q18</f>
        <v>-5030.4273591663223</v>
      </c>
      <c r="S18" s="14">
        <f t="shared" ref="S18:S25" si="44">R18/ABS(Q18)</f>
        <v>-7.8386692805525945E-3</v>
      </c>
      <c r="U18" s="38">
        <f>U19+U20+U23</f>
        <v>515462.94415626</v>
      </c>
      <c r="V18" s="38">
        <f>V19+V20+V23</f>
        <v>121251.69759299999</v>
      </c>
      <c r="W18" s="14">
        <f t="shared" ref="W18:W25" si="45">V18/ABS(U18)</f>
        <v>0.23522873752151455</v>
      </c>
    </row>
    <row r="19" spans="2:23" x14ac:dyDescent="0.3">
      <c r="B19" s="2"/>
      <c r="C19" s="2"/>
      <c r="D19" s="2" t="s">
        <v>25</v>
      </c>
      <c r="E19" s="2"/>
      <c r="F19" s="2"/>
      <c r="G19" s="24">
        <v>20978.471331880006</v>
      </c>
      <c r="H19" s="38">
        <v>23918.906083390026</v>
      </c>
      <c r="I19" s="38">
        <f>25037.88494184-2000</f>
        <v>23037.884941839999</v>
      </c>
      <c r="J19" s="38">
        <v>20789.516970909925</v>
      </c>
      <c r="K19" s="38">
        <v>28913.237042629997</v>
      </c>
      <c r="L19" s="38">
        <v>23055.697409820077</v>
      </c>
      <c r="M19" s="38">
        <v>24336.565839340004</v>
      </c>
      <c r="N19" s="38">
        <v>19818.939182539867</v>
      </c>
      <c r="O19" s="38">
        <v>26329.51156319003</v>
      </c>
      <c r="P19" s="38">
        <f>+G19+H19+I19+J19+K19+L19+M19+N19+O19</f>
        <v>211178.73036553996</v>
      </c>
      <c r="Q19" s="24">
        <v>215245.1279234064</v>
      </c>
      <c r="R19" s="38">
        <f t="shared" ref="R19:R41" si="46">P19-Q19</f>
        <v>-4066.3975578664395</v>
      </c>
      <c r="S19" s="14">
        <f t="shared" si="44"/>
        <v>-1.8891937750681358E-2</v>
      </c>
      <c r="U19" s="40">
        <v>193354.87247944996</v>
      </c>
      <c r="V19" s="38">
        <f>P19-U19</f>
        <v>17823.857886090002</v>
      </c>
      <c r="W19" s="14">
        <f t="shared" si="45"/>
        <v>9.218209842622066E-2</v>
      </c>
    </row>
    <row r="20" spans="2:23" x14ac:dyDescent="0.3">
      <c r="B20" s="2"/>
      <c r="C20" s="2"/>
      <c r="D20" s="2" t="s">
        <v>56</v>
      </c>
      <c r="E20" s="2"/>
      <c r="F20" s="2"/>
      <c r="G20" s="24">
        <f t="shared" ref="G20:R20" si="47">G21+G22</f>
        <v>37102.495999999999</v>
      </c>
      <c r="H20" s="38">
        <f t="shared" si="47"/>
        <v>31814.97150698</v>
      </c>
      <c r="I20" s="38">
        <f t="shared" si="47"/>
        <v>36139.81</v>
      </c>
      <c r="J20" s="38">
        <f t="shared" ref="J20:P20" si="48">J21+J22</f>
        <v>37610.993000000002</v>
      </c>
      <c r="K20" s="38">
        <f t="shared" ref="K20:M20" si="49">K21+K22</f>
        <v>33740.218000000001</v>
      </c>
      <c r="L20" s="38">
        <f t="shared" si="49"/>
        <v>31455.427</v>
      </c>
      <c r="M20" s="38">
        <f t="shared" si="49"/>
        <v>32710.064999999999</v>
      </c>
      <c r="N20" s="38">
        <f t="shared" ref="N20:O20" si="50">N21+N22</f>
        <v>30258.664129110002</v>
      </c>
      <c r="O20" s="38">
        <f t="shared" si="50"/>
        <v>32429.592000000001</v>
      </c>
      <c r="P20" s="38">
        <f t="shared" si="48"/>
        <v>303262.23663608998</v>
      </c>
      <c r="Q20" s="24">
        <f t="shared" si="47"/>
        <v>304508.61475364666</v>
      </c>
      <c r="R20" s="38">
        <f t="shared" si="47"/>
        <v>-1246.3781175566546</v>
      </c>
      <c r="S20" s="14">
        <f t="shared" si="44"/>
        <v>-4.0930799890998111E-3</v>
      </c>
      <c r="U20" s="38">
        <f>U21+U22</f>
        <v>217798.99600000001</v>
      </c>
      <c r="V20" s="38">
        <f>V21+V22</f>
        <v>85463.240636089991</v>
      </c>
      <c r="W20" s="14">
        <f t="shared" si="45"/>
        <v>0.39239501653207798</v>
      </c>
    </row>
    <row r="21" spans="2:23" x14ac:dyDescent="0.3">
      <c r="B21" s="2"/>
      <c r="C21" s="2"/>
      <c r="D21" s="2"/>
      <c r="E21" s="2" t="s">
        <v>26</v>
      </c>
      <c r="F21" s="2"/>
      <c r="G21" s="24">
        <v>33876.983079500002</v>
      </c>
      <c r="H21" s="38">
        <v>29815.22701608</v>
      </c>
      <c r="I21" s="38">
        <v>34266.246338619996</v>
      </c>
      <c r="J21" s="38">
        <v>34902.351467140004</v>
      </c>
      <c r="K21" s="38">
        <v>31914.362589109998</v>
      </c>
      <c r="L21" s="38">
        <v>29312.327599600001</v>
      </c>
      <c r="M21" s="38">
        <v>30744.953313996</v>
      </c>
      <c r="N21" s="38">
        <v>28191.347725517204</v>
      </c>
      <c r="O21" s="38">
        <v>30828.789211560001</v>
      </c>
      <c r="P21" s="38">
        <f t="shared" ref="P21:P22" si="51">+G21+H21+I21+J21+K21+L21+M21+N21+O21</f>
        <v>283852.58834112319</v>
      </c>
      <c r="Q21" s="24">
        <v>284951.60005219909</v>
      </c>
      <c r="R21" s="38">
        <f t="shared" si="46"/>
        <v>-1099.011711075902</v>
      </c>
      <c r="S21" s="14">
        <f t="shared" si="44"/>
        <v>-3.8568364272198456E-3</v>
      </c>
      <c r="U21" s="40">
        <v>203664.44253063269</v>
      </c>
      <c r="V21" s="38">
        <f t="shared" ref="V21:V22" si="52">P21-U21</f>
        <v>80188.145810490503</v>
      </c>
      <c r="W21" s="14">
        <f t="shared" si="45"/>
        <v>0.39372678320335469</v>
      </c>
    </row>
    <row r="22" spans="2:23" x14ac:dyDescent="0.3">
      <c r="B22" s="2"/>
      <c r="C22" s="2"/>
      <c r="D22" s="2"/>
      <c r="E22" s="2" t="s">
        <v>57</v>
      </c>
      <c r="F22" s="2"/>
      <c r="G22" s="24">
        <v>3225.5129205000003</v>
      </c>
      <c r="H22" s="38">
        <v>1999.7444909000001</v>
      </c>
      <c r="I22" s="38">
        <v>1873.5636613800002</v>
      </c>
      <c r="J22" s="38">
        <v>2708.6415328600001</v>
      </c>
      <c r="K22" s="38">
        <v>1825.8554108899998</v>
      </c>
      <c r="L22" s="38">
        <v>2143.0994003999999</v>
      </c>
      <c r="M22" s="38">
        <v>1965.1116860039999</v>
      </c>
      <c r="N22" s="38">
        <v>2067.3164035928003</v>
      </c>
      <c r="O22" s="38">
        <v>1600.8027884399999</v>
      </c>
      <c r="P22" s="38">
        <f t="shared" si="51"/>
        <v>19409.648294966799</v>
      </c>
      <c r="Q22" s="24">
        <v>19557.014701447551</v>
      </c>
      <c r="R22" s="38">
        <f t="shared" si="46"/>
        <v>-147.36640648075263</v>
      </c>
      <c r="S22" s="14">
        <f t="shared" si="44"/>
        <v>-7.5352199060240528E-3</v>
      </c>
      <c r="U22" s="40">
        <v>14134.553469367314</v>
      </c>
      <c r="V22" s="38">
        <f t="shared" si="52"/>
        <v>5275.0948255994845</v>
      </c>
      <c r="W22" s="14">
        <f t="shared" si="45"/>
        <v>0.37320562245081002</v>
      </c>
    </row>
    <row r="23" spans="2:23" x14ac:dyDescent="0.3">
      <c r="B23" s="2"/>
      <c r="C23" s="2"/>
      <c r="D23" s="2" t="s">
        <v>27</v>
      </c>
      <c r="E23" s="2"/>
      <c r="F23" s="2"/>
      <c r="G23" s="24">
        <f t="shared" ref="G23:R23" si="53">G24+G25</f>
        <v>13765.346506169999</v>
      </c>
      <c r="H23" s="38">
        <f t="shared" si="53"/>
        <v>10870.011743710002</v>
      </c>
      <c r="I23" s="38">
        <f t="shared" ref="I23:P23" si="54">I24+I25</f>
        <v>10958.66081265</v>
      </c>
      <c r="J23" s="38">
        <f t="shared" si="54"/>
        <v>17430.499379669996</v>
      </c>
      <c r="K23" s="38">
        <f t="shared" ref="K23:M23" si="55">K24+K25</f>
        <v>15395.068312939999</v>
      </c>
      <c r="L23" s="38">
        <f t="shared" si="55"/>
        <v>15457.286732630007</v>
      </c>
      <c r="M23" s="38">
        <f t="shared" si="55"/>
        <v>13955.741176059992</v>
      </c>
      <c r="N23" s="38">
        <f t="shared" ref="N23:O23" si="56">N24+N25</f>
        <v>14129.823020510004</v>
      </c>
      <c r="O23" s="38">
        <f t="shared" si="56"/>
        <v>10311.237063289998</v>
      </c>
      <c r="P23" s="38">
        <f t="shared" si="54"/>
        <v>122273.67474762999</v>
      </c>
      <c r="Q23" s="24">
        <f t="shared" si="53"/>
        <v>121991.32643137311</v>
      </c>
      <c r="R23" s="38">
        <f t="shared" si="53"/>
        <v>282.34831625688821</v>
      </c>
      <c r="S23" s="14">
        <f t="shared" si="44"/>
        <v>2.3144950097392768E-3</v>
      </c>
      <c r="U23" s="38">
        <f t="shared" ref="U23:V23" si="57">U24+U25</f>
        <v>104309.07567681</v>
      </c>
      <c r="V23" s="38">
        <f t="shared" si="57"/>
        <v>17964.599070820004</v>
      </c>
      <c r="W23" s="14">
        <f t="shared" si="45"/>
        <v>0.17222469813155381</v>
      </c>
    </row>
    <row r="24" spans="2:23" x14ac:dyDescent="0.3">
      <c r="B24" s="2"/>
      <c r="C24" s="2"/>
      <c r="D24" s="2"/>
      <c r="E24" s="2" t="s">
        <v>19</v>
      </c>
      <c r="F24" s="2"/>
      <c r="G24" s="24">
        <v>3926.7906000799999</v>
      </c>
      <c r="H24" s="38">
        <v>5635.4254721099996</v>
      </c>
      <c r="I24" s="38">
        <v>7913.98925607</v>
      </c>
      <c r="J24" s="38">
        <v>1371.1900822799976</v>
      </c>
      <c r="K24" s="38">
        <v>11307.99694881</v>
      </c>
      <c r="L24" s="38">
        <v>4907.8476602200071</v>
      </c>
      <c r="M24" s="38">
        <v>3733.8250452499965</v>
      </c>
      <c r="N24" s="38">
        <v>6177.3815507600029</v>
      </c>
      <c r="O24" s="38">
        <v>7809.8564254599924</v>
      </c>
      <c r="P24" s="38">
        <f t="shared" ref="P24:P25" si="58">+G24+H24+I24+J24+K24+L24+M24+N24+O24</f>
        <v>52784.303041039995</v>
      </c>
      <c r="Q24" s="24">
        <v>53447.432445503655</v>
      </c>
      <c r="R24" s="38">
        <f t="shared" si="46"/>
        <v>-663.12940446365974</v>
      </c>
      <c r="S24" s="14">
        <f t="shared" si="44"/>
        <v>-1.2407133030006692E-2</v>
      </c>
      <c r="U24" s="40">
        <v>49917.929010609994</v>
      </c>
      <c r="V24" s="38">
        <f t="shared" ref="V24:V25" si="59">P24-U24</f>
        <v>2866.3740304300009</v>
      </c>
      <c r="W24" s="14">
        <f t="shared" si="45"/>
        <v>5.7421733778674121E-2</v>
      </c>
    </row>
    <row r="25" spans="2:23" x14ac:dyDescent="0.3">
      <c r="B25" s="2"/>
      <c r="C25" s="2"/>
      <c r="D25" s="2"/>
      <c r="E25" s="2" t="s">
        <v>20</v>
      </c>
      <c r="F25" s="2"/>
      <c r="G25" s="24">
        <v>9838.5559060899996</v>
      </c>
      <c r="H25" s="38">
        <v>5234.5862716000011</v>
      </c>
      <c r="I25" s="38">
        <v>3044.67155658</v>
      </c>
      <c r="J25" s="38">
        <v>16059.30929739</v>
      </c>
      <c r="K25" s="38">
        <v>4087.0713641299999</v>
      </c>
      <c r="L25" s="38">
        <v>10549.439072409999</v>
      </c>
      <c r="M25" s="38">
        <v>10221.916130809996</v>
      </c>
      <c r="N25" s="38">
        <v>7952.4414697500006</v>
      </c>
      <c r="O25" s="38">
        <v>2501.380637830006</v>
      </c>
      <c r="P25" s="38">
        <f t="shared" si="58"/>
        <v>69489.371706589998</v>
      </c>
      <c r="Q25" s="24">
        <v>68543.89398586945</v>
      </c>
      <c r="R25" s="38">
        <f t="shared" si="46"/>
        <v>945.47772072054795</v>
      </c>
      <c r="S25" s="14">
        <f t="shared" si="44"/>
        <v>1.3793755588433031E-2</v>
      </c>
      <c r="U25" s="40">
        <v>54391.146666199995</v>
      </c>
      <c r="V25" s="38">
        <f t="shared" si="59"/>
        <v>15098.225040390003</v>
      </c>
      <c r="W25" s="14">
        <f t="shared" si="45"/>
        <v>0.27758607725349566</v>
      </c>
    </row>
    <row r="26" spans="2:23" x14ac:dyDescent="0.3">
      <c r="B26" s="2"/>
      <c r="C26" s="2"/>
      <c r="D26" s="2"/>
      <c r="E26" s="2"/>
      <c r="F26" s="2"/>
      <c r="G26" s="25"/>
      <c r="H26" s="39"/>
      <c r="I26" s="39"/>
      <c r="J26" s="39"/>
      <c r="K26" s="39"/>
      <c r="L26" s="39"/>
      <c r="M26" s="39"/>
      <c r="N26" s="39"/>
      <c r="O26" s="39"/>
      <c r="P26" s="39"/>
      <c r="Q26" s="25"/>
      <c r="R26" s="39"/>
      <c r="S26" s="14"/>
      <c r="U26" s="39"/>
      <c r="V26" s="39"/>
      <c r="W26" s="14"/>
    </row>
    <row r="27" spans="2:23" x14ac:dyDescent="0.3">
      <c r="B27" s="2"/>
      <c r="C27" s="2" t="s">
        <v>18</v>
      </c>
      <c r="D27" s="2"/>
      <c r="E27" s="2"/>
      <c r="F27" s="2"/>
      <c r="G27" s="24">
        <f t="shared" ref="G27:R27" si="60">G28</f>
        <v>6569.7533908099995</v>
      </c>
      <c r="H27" s="38">
        <f t="shared" si="60"/>
        <v>3330.1157808199996</v>
      </c>
      <c r="I27" s="38">
        <f t="shared" si="60"/>
        <v>2737.4300267200001</v>
      </c>
      <c r="J27" s="38">
        <f t="shared" si="60"/>
        <v>1965.8800655900022</v>
      </c>
      <c r="K27" s="38">
        <f t="shared" si="60"/>
        <v>3851.2598572899979</v>
      </c>
      <c r="L27" s="38">
        <f t="shared" si="60"/>
        <v>3882.9819054499999</v>
      </c>
      <c r="M27" s="38">
        <f t="shared" si="60"/>
        <v>4212.2971086299985</v>
      </c>
      <c r="N27" s="38">
        <f t="shared" si="60"/>
        <v>4643.9114643700022</v>
      </c>
      <c r="O27" s="38">
        <f t="shared" si="60"/>
        <v>5691.8520796699977</v>
      </c>
      <c r="P27" s="38">
        <f t="shared" si="60"/>
        <v>36885.481679349999</v>
      </c>
      <c r="Q27" s="24">
        <f t="shared" si="60"/>
        <v>39017.745237204159</v>
      </c>
      <c r="R27" s="38">
        <f t="shared" si="60"/>
        <v>-2132.2635578541594</v>
      </c>
      <c r="S27" s="14">
        <f t="shared" ref="S27:S28" si="61">R27/ABS(Q27)</f>
        <v>-5.4648559133576122E-2</v>
      </c>
      <c r="U27" s="38">
        <f>U28</f>
        <v>37186.895144959999</v>
      </c>
      <c r="V27" s="38">
        <f>V28</f>
        <v>-301.41346560999955</v>
      </c>
      <c r="W27" s="14">
        <f t="shared" ref="W27:W28" si="62">V27/ABS(U27)</f>
        <v>-8.1053678839022574E-3</v>
      </c>
    </row>
    <row r="28" spans="2:23" x14ac:dyDescent="0.3">
      <c r="B28" s="2"/>
      <c r="C28" s="2"/>
      <c r="D28" s="2" t="s">
        <v>28</v>
      </c>
      <c r="E28" s="2"/>
      <c r="F28" s="2"/>
      <c r="G28" s="24">
        <v>6569.7533908099995</v>
      </c>
      <c r="H28" s="38">
        <v>3330.1157808199996</v>
      </c>
      <c r="I28" s="38">
        <v>2737.4300267200001</v>
      </c>
      <c r="J28" s="38">
        <v>1965.8800655900022</v>
      </c>
      <c r="K28" s="38">
        <v>3851.2598572899979</v>
      </c>
      <c r="L28" s="38">
        <v>3882.9819054499999</v>
      </c>
      <c r="M28" s="38">
        <v>4212.2971086299985</v>
      </c>
      <c r="N28" s="38">
        <v>4643.9114643700022</v>
      </c>
      <c r="O28" s="38">
        <v>5691.8520796699977</v>
      </c>
      <c r="P28" s="38">
        <f>+G28+H28+I28+J28+K28+L28+M28+N28+O28</f>
        <v>36885.481679349999</v>
      </c>
      <c r="Q28" s="24">
        <v>39017.745237204159</v>
      </c>
      <c r="R28" s="38">
        <f t="shared" si="46"/>
        <v>-2132.2635578541594</v>
      </c>
      <c r="S28" s="14">
        <f t="shared" si="61"/>
        <v>-5.4648559133576122E-2</v>
      </c>
      <c r="U28" s="40">
        <v>37186.895144959999</v>
      </c>
      <c r="V28" s="38">
        <f>P28-U28</f>
        <v>-301.41346560999955</v>
      </c>
      <c r="W28" s="14">
        <f t="shared" si="62"/>
        <v>-8.1053678839022574E-3</v>
      </c>
    </row>
    <row r="29" spans="2:23" x14ac:dyDescent="0.3">
      <c r="B29" s="2"/>
      <c r="C29" s="2"/>
      <c r="D29" s="2"/>
      <c r="E29" s="2"/>
      <c r="F29" s="2"/>
      <c r="G29" s="25"/>
      <c r="H29" s="39"/>
      <c r="I29" s="39"/>
      <c r="J29" s="39"/>
      <c r="K29" s="39"/>
      <c r="L29" s="39"/>
      <c r="M29" s="39"/>
      <c r="N29" s="39"/>
      <c r="O29" s="39"/>
      <c r="P29" s="39"/>
      <c r="Q29" s="25"/>
      <c r="R29" s="39"/>
      <c r="S29" s="14"/>
      <c r="U29" s="39"/>
      <c r="V29" s="39"/>
      <c r="W29" s="14"/>
    </row>
    <row r="30" spans="2:23" s="5" customFormat="1" x14ac:dyDescent="0.3">
      <c r="B30" s="5" t="s">
        <v>3</v>
      </c>
      <c r="C30" s="6"/>
      <c r="D30" s="6"/>
      <c r="E30" s="6"/>
      <c r="F30" s="6"/>
      <c r="G30" s="26">
        <f t="shared" ref="G30:R30" si="63">+G10-G17</f>
        <v>-18148.567862953802</v>
      </c>
      <c r="H30" s="37">
        <f t="shared" si="63"/>
        <v>-412.57251688493125</v>
      </c>
      <c r="I30" s="37">
        <f t="shared" si="63"/>
        <v>3796.1697436597169</v>
      </c>
      <c r="J30" s="37">
        <f t="shared" ref="J30" si="64">+J10-J17</f>
        <v>-3670.0240833025309</v>
      </c>
      <c r="K30" s="37">
        <f t="shared" ref="K30:M30" si="65">+K10-K17</f>
        <v>-15126.664535953081</v>
      </c>
      <c r="L30" s="37">
        <f t="shared" si="65"/>
        <v>5886.3606490283128</v>
      </c>
      <c r="M30" s="37">
        <f t="shared" si="65"/>
        <v>-7840.4088833063724</v>
      </c>
      <c r="N30" s="37">
        <f t="shared" ref="N30:O30" si="66">+N10-N17</f>
        <v>-1059.0276635492046</v>
      </c>
      <c r="O30" s="37">
        <f t="shared" si="66"/>
        <v>3329.2965417143278</v>
      </c>
      <c r="P30" s="37">
        <f t="shared" si="63"/>
        <v>-33245.438611547695</v>
      </c>
      <c r="Q30" s="26">
        <f>+Q10-Q17</f>
        <v>-31078.170504196081</v>
      </c>
      <c r="R30" s="37">
        <f t="shared" si="63"/>
        <v>-2167.2681073514395</v>
      </c>
      <c r="S30" s="13">
        <f>R30/ABS(Q30)</f>
        <v>-6.9736026033412155E-2</v>
      </c>
      <c r="U30" s="37">
        <f>+U10-U17</f>
        <v>14958.05001438898</v>
      </c>
      <c r="V30" s="37">
        <f>+V10-V17</f>
        <v>-48203.488625936647</v>
      </c>
      <c r="W30" s="13">
        <f>V30/ABS(U30)</f>
        <v>-3.2225783828485017</v>
      </c>
    </row>
    <row r="31" spans="2:23" x14ac:dyDescent="0.3">
      <c r="B31" s="2"/>
      <c r="C31" s="2"/>
      <c r="D31" s="2"/>
      <c r="E31" s="2"/>
      <c r="F31" s="2"/>
      <c r="G31" s="26"/>
      <c r="H31" s="37"/>
      <c r="I31" s="37"/>
      <c r="J31" s="37"/>
      <c r="K31" s="37"/>
      <c r="L31" s="37"/>
      <c r="M31" s="37"/>
      <c r="N31" s="37"/>
      <c r="O31" s="37"/>
      <c r="P31" s="37"/>
      <c r="Q31" s="26"/>
      <c r="R31" s="37"/>
      <c r="S31" s="14"/>
      <c r="U31" s="37"/>
      <c r="V31" s="37"/>
      <c r="W31" s="14"/>
    </row>
    <row r="32" spans="2:23" s="5" customFormat="1" x14ac:dyDescent="0.3">
      <c r="B32" s="5" t="s">
        <v>4</v>
      </c>
      <c r="C32" s="6"/>
      <c r="D32" s="6"/>
      <c r="E32" s="6"/>
      <c r="F32" s="6"/>
      <c r="G32" s="26">
        <f t="shared" ref="G32:R32" si="67">G33+G34</f>
        <v>13956.0024043576</v>
      </c>
      <c r="H32" s="37">
        <f t="shared" si="67"/>
        <v>12195.849799973999</v>
      </c>
      <c r="I32" s="37">
        <f t="shared" ref="I32:J32" si="68">I33+I34</f>
        <v>6231.3101501031997</v>
      </c>
      <c r="J32" s="37">
        <f t="shared" si="68"/>
        <v>8626.9324016164992</v>
      </c>
      <c r="K32" s="37">
        <f t="shared" ref="K32:M32" si="69">K33+K34</f>
        <v>54883.457610720405</v>
      </c>
      <c r="L32" s="37">
        <f t="shared" si="69"/>
        <v>41293.791531818599</v>
      </c>
      <c r="M32" s="37">
        <f t="shared" si="69"/>
        <v>1365.19038447</v>
      </c>
      <c r="N32" s="37">
        <f t="shared" ref="N32:O32" si="70">N33+N34</f>
        <v>11901.68620167</v>
      </c>
      <c r="O32" s="37">
        <f t="shared" si="70"/>
        <v>2610.3039054796</v>
      </c>
      <c r="P32" s="37">
        <f t="shared" si="67"/>
        <v>153064.5243902099</v>
      </c>
      <c r="Q32" s="26">
        <f t="shared" si="67"/>
        <v>143622.78552294482</v>
      </c>
      <c r="R32" s="37">
        <f t="shared" si="67"/>
        <v>9441.7388672650777</v>
      </c>
      <c r="S32" s="13">
        <f>R32/ABS(Q32)</f>
        <v>6.5739839489164412E-2</v>
      </c>
      <c r="U32" s="37">
        <f t="shared" ref="U32:V32" si="71">U33+U34</f>
        <v>64862.872797691103</v>
      </c>
      <c r="V32" s="37">
        <f t="shared" si="71"/>
        <v>88201.651592518814</v>
      </c>
      <c r="W32" s="13">
        <f>V32/ABS(U32)</f>
        <v>1.3598172234464843</v>
      </c>
    </row>
    <row r="33" spans="2:23" x14ac:dyDescent="0.3">
      <c r="C33" s="2" t="s">
        <v>19</v>
      </c>
      <c r="D33" s="2"/>
      <c r="E33" s="2"/>
      <c r="F33" s="2"/>
      <c r="G33" s="24">
        <v>11577.06387681</v>
      </c>
      <c r="H33" s="38">
        <v>10734.28845693</v>
      </c>
      <c r="I33" s="38">
        <v>1358.5383022999999</v>
      </c>
      <c r="J33" s="38">
        <v>7759.4793711399998</v>
      </c>
      <c r="K33" s="38">
        <v>5563.02697954</v>
      </c>
      <c r="L33" s="38">
        <v>1367.29658412</v>
      </c>
      <c r="M33" s="38">
        <v>1365.19038447</v>
      </c>
      <c r="N33" s="38">
        <v>11275.88620167</v>
      </c>
      <c r="O33" s="38">
        <v>1363.0972138899999</v>
      </c>
      <c r="P33" s="38">
        <f t="shared" ref="P33:P34" si="72">+G33+H33+I33+J33+K33+L33+M33+N33+O33</f>
        <v>52363.867370870001</v>
      </c>
      <c r="Q33" s="24">
        <v>43324.883955309997</v>
      </c>
      <c r="R33" s="38">
        <f t="shared" si="46"/>
        <v>9038.9834155600038</v>
      </c>
      <c r="S33" s="14">
        <f t="shared" ref="S33:S34" si="73">R33/ABS(Q33)</f>
        <v>0.20863260533793457</v>
      </c>
      <c r="T33" s="47"/>
      <c r="U33" s="40">
        <v>48286.601518490002</v>
      </c>
      <c r="V33" s="38">
        <f t="shared" ref="V33:V34" si="74">P33-U33</f>
        <v>4077.2658523799983</v>
      </c>
      <c r="W33" s="14">
        <f t="shared" ref="W33:W34" si="75">V33/ABS(U33)</f>
        <v>8.4438865527090845E-2</v>
      </c>
    </row>
    <row r="34" spans="2:23" x14ac:dyDescent="0.3">
      <c r="B34" s="2"/>
      <c r="C34" s="2" t="s">
        <v>20</v>
      </c>
      <c r="D34" s="2"/>
      <c r="E34" s="2"/>
      <c r="F34" s="2"/>
      <c r="G34" s="24">
        <v>2378.9385275475997</v>
      </c>
      <c r="H34" s="38">
        <v>1461.5613430439998</v>
      </c>
      <c r="I34" s="38">
        <v>4872.7718478032002</v>
      </c>
      <c r="J34" s="38">
        <v>867.45303047650009</v>
      </c>
      <c r="K34" s="38">
        <v>49320.430631180403</v>
      </c>
      <c r="L34" s="38">
        <v>39926.4949476986</v>
      </c>
      <c r="M34" s="38">
        <v>0</v>
      </c>
      <c r="N34" s="38">
        <v>625.79999999999995</v>
      </c>
      <c r="O34" s="38">
        <v>1247.2066915896</v>
      </c>
      <c r="P34" s="38">
        <f t="shared" si="72"/>
        <v>100700.65701933991</v>
      </c>
      <c r="Q34" s="24">
        <v>100297.90156763484</v>
      </c>
      <c r="R34" s="38">
        <f t="shared" si="46"/>
        <v>402.75545170507394</v>
      </c>
      <c r="S34" s="14">
        <f t="shared" si="73"/>
        <v>4.0155920055164867E-3</v>
      </c>
      <c r="U34" s="40">
        <v>16576.271279201097</v>
      </c>
      <c r="V34" s="38">
        <f t="shared" si="74"/>
        <v>84124.385740138809</v>
      </c>
      <c r="W34" s="14">
        <f t="shared" si="75"/>
        <v>5.0749884773961806</v>
      </c>
    </row>
    <row r="35" spans="2:23" x14ac:dyDescent="0.3">
      <c r="B35" s="2"/>
      <c r="C35" s="2"/>
      <c r="D35" s="2"/>
      <c r="E35" s="2"/>
      <c r="F35" s="2"/>
      <c r="G35" s="24"/>
      <c r="H35" s="38"/>
      <c r="I35" s="38"/>
      <c r="J35" s="38"/>
      <c r="K35" s="38"/>
      <c r="L35" s="38"/>
      <c r="M35" s="38"/>
      <c r="N35" s="38"/>
      <c r="O35" s="38"/>
      <c r="P35" s="38"/>
      <c r="Q35" s="24"/>
      <c r="R35" s="38"/>
      <c r="S35" s="14"/>
      <c r="U35" s="38"/>
      <c r="V35" s="38"/>
      <c r="W35" s="14"/>
    </row>
    <row r="36" spans="2:23" s="5" customFormat="1" x14ac:dyDescent="0.3">
      <c r="B36" s="5" t="s">
        <v>59</v>
      </c>
      <c r="C36" s="6"/>
      <c r="D36" s="6"/>
      <c r="E36" s="6"/>
      <c r="F36" s="6"/>
      <c r="G36" s="29">
        <v>470.06694965999998</v>
      </c>
      <c r="H36" s="41">
        <v>237.44645593999999</v>
      </c>
      <c r="I36" s="41">
        <v>1020.13848602</v>
      </c>
      <c r="J36" s="41">
        <v>187.10448618999999</v>
      </c>
      <c r="K36" s="41">
        <v>322.626036</v>
      </c>
      <c r="L36" s="41">
        <v>1754.58131289481</v>
      </c>
      <c r="M36" s="41">
        <v>598.96862533000001</v>
      </c>
      <c r="N36" s="41">
        <v>13806.8355087049</v>
      </c>
      <c r="O36" s="41">
        <v>2905.3373507503998</v>
      </c>
      <c r="P36" s="37">
        <f t="shared" ref="P36:P37" si="76">+G36+H36+I36+J36+K36+L36+M36+N36+O36</f>
        <v>21303.10521149011</v>
      </c>
      <c r="Q36" s="29">
        <v>9899.2441375273993</v>
      </c>
      <c r="R36" s="37">
        <f>P36-Q36</f>
        <v>11403.861073962711</v>
      </c>
      <c r="S36" s="13">
        <f>R36/ABS(Q36)</f>
        <v>1.1519931133662424</v>
      </c>
      <c r="U36" s="41">
        <v>4024.1069438917739</v>
      </c>
      <c r="V36" s="37">
        <f t="shared" ref="V36:V37" si="77">P36-U36</f>
        <v>17278.998267598337</v>
      </c>
      <c r="W36" s="13">
        <f>V36/ABS(U36)</f>
        <v>4.2938715368452804</v>
      </c>
    </row>
    <row r="37" spans="2:23" s="5" customFormat="1" x14ac:dyDescent="0.3">
      <c r="B37" s="5" t="s">
        <v>62</v>
      </c>
      <c r="C37" s="6"/>
      <c r="D37" s="6"/>
      <c r="E37" s="6"/>
      <c r="F37" s="6"/>
      <c r="G37" s="29">
        <v>0</v>
      </c>
      <c r="H37" s="41">
        <v>0</v>
      </c>
      <c r="I37" s="41">
        <v>2000</v>
      </c>
      <c r="J37" s="41">
        <v>3000</v>
      </c>
      <c r="K37" s="41">
        <v>0</v>
      </c>
      <c r="L37" s="41">
        <v>600</v>
      </c>
      <c r="M37" s="41">
        <v>0</v>
      </c>
      <c r="N37" s="41">
        <v>0</v>
      </c>
      <c r="O37" s="41">
        <v>6869.2979999999998</v>
      </c>
      <c r="P37" s="37">
        <f t="shared" si="76"/>
        <v>12469.297999999999</v>
      </c>
      <c r="Q37" s="29">
        <v>6050</v>
      </c>
      <c r="R37" s="37">
        <f t="shared" si="46"/>
        <v>6419.2979999999989</v>
      </c>
      <c r="S37" s="13">
        <f>R37/ABS(Q37)</f>
        <v>1.061040991735537</v>
      </c>
      <c r="U37" s="41">
        <v>0</v>
      </c>
      <c r="V37" s="37">
        <f t="shared" si="77"/>
        <v>12469.297999999999</v>
      </c>
      <c r="W37" s="13" t="s">
        <v>60</v>
      </c>
    </row>
    <row r="38" spans="2:23" x14ac:dyDescent="0.3">
      <c r="C38" s="2"/>
      <c r="D38" s="2"/>
      <c r="E38" s="2"/>
      <c r="F38" s="2"/>
      <c r="G38" s="26"/>
      <c r="H38" s="37"/>
      <c r="I38" s="37"/>
      <c r="J38" s="37"/>
      <c r="K38" s="37"/>
      <c r="L38" s="37"/>
      <c r="M38" s="37"/>
      <c r="N38" s="37"/>
      <c r="O38" s="37"/>
      <c r="P38" s="37"/>
      <c r="Q38" s="26"/>
      <c r="R38" s="37"/>
      <c r="S38" s="14"/>
      <c r="U38" s="37"/>
      <c r="V38" s="37"/>
      <c r="W38" s="14"/>
    </row>
    <row r="39" spans="2:23" s="5" customFormat="1" x14ac:dyDescent="0.3">
      <c r="B39" s="5" t="s">
        <v>5</v>
      </c>
      <c r="C39" s="6"/>
      <c r="D39" s="6"/>
      <c r="E39" s="6"/>
      <c r="F39" s="6"/>
      <c r="G39" s="26">
        <f t="shared" ref="G39:R39" si="78">G40+G41</f>
        <v>4993.0905425400006</v>
      </c>
      <c r="H39" s="37">
        <f t="shared" si="78"/>
        <v>6149.3750154500012</v>
      </c>
      <c r="I39" s="37">
        <f t="shared" si="78"/>
        <v>6260.5467825100004</v>
      </c>
      <c r="J39" s="37">
        <f t="shared" ref="J39" si="79">J40+J41</f>
        <v>30870.14130784</v>
      </c>
      <c r="K39" s="37">
        <f t="shared" ref="K39:M39" si="80">K40+K41</f>
        <v>8285.4091902399996</v>
      </c>
      <c r="L39" s="37">
        <f t="shared" si="80"/>
        <v>2910.8885222700037</v>
      </c>
      <c r="M39" s="37">
        <f t="shared" si="80"/>
        <v>5068.7985925900002</v>
      </c>
      <c r="N39" s="37">
        <f t="shared" ref="N39:O39" si="81">N40+N41</f>
        <v>28605.927889730006</v>
      </c>
      <c r="O39" s="37">
        <f t="shared" si="81"/>
        <v>15114.873454069995</v>
      </c>
      <c r="P39" s="37">
        <f t="shared" si="78"/>
        <v>108259.05129724</v>
      </c>
      <c r="Q39" s="26">
        <f t="shared" si="78"/>
        <v>110089.08835818851</v>
      </c>
      <c r="R39" s="37">
        <f t="shared" si="78"/>
        <v>-1830.0370609485017</v>
      </c>
      <c r="S39" s="13">
        <f>R39/ABS(Q39)</f>
        <v>-1.6623237491024078E-2</v>
      </c>
      <c r="U39" s="37">
        <f>U40+U41</f>
        <v>52595.137671839992</v>
      </c>
      <c r="V39" s="37">
        <f>V40+V41</f>
        <v>55663.913625400019</v>
      </c>
      <c r="W39" s="13">
        <f>V39/ABS(U39)</f>
        <v>1.058347141758754</v>
      </c>
    </row>
    <row r="40" spans="2:23" x14ac:dyDescent="0.3">
      <c r="C40" s="2" t="s">
        <v>19</v>
      </c>
      <c r="D40" s="2"/>
      <c r="E40" s="2"/>
      <c r="F40" s="2"/>
      <c r="G40" s="24">
        <v>2122.6002996300003</v>
      </c>
      <c r="H40" s="38">
        <v>2111.0590595799999</v>
      </c>
      <c r="I40" s="38">
        <v>1358.5383022999999</v>
      </c>
      <c r="J40" s="38">
        <v>2110.9360573700001</v>
      </c>
      <c r="K40" s="38">
        <v>2110.7756313</v>
      </c>
      <c r="L40" s="38">
        <v>1358.7039533300037</v>
      </c>
      <c r="M40" s="38">
        <v>1358.7948102299999</v>
      </c>
      <c r="N40" s="38">
        <v>2112.5961360499982</v>
      </c>
      <c r="O40" s="38">
        <v>1360.2778161200004</v>
      </c>
      <c r="P40" s="38">
        <f t="shared" ref="P40:P41" si="82">+G40+H40+I40+J40+K40+L40+M40+N40+O40</f>
        <v>16004.28206591</v>
      </c>
      <c r="Q40" s="24">
        <v>16003.782068949711</v>
      </c>
      <c r="R40" s="38">
        <f t="shared" si="46"/>
        <v>0.49999696028862672</v>
      </c>
      <c r="S40" s="14">
        <f t="shared" ref="S40:S41" si="83">R40/ABS(Q40)</f>
        <v>3.1242424955205624E-5</v>
      </c>
      <c r="U40" s="40">
        <v>20091.893366209995</v>
      </c>
      <c r="V40" s="38">
        <f t="shared" ref="V40:V41" si="84">P40-U40</f>
        <v>-4087.6113002999955</v>
      </c>
      <c r="W40" s="14">
        <f t="shared" ref="W40:W41" si="85">V40/ABS(U40)</f>
        <v>-0.2034457990492041</v>
      </c>
    </row>
    <row r="41" spans="2:23" x14ac:dyDescent="0.3">
      <c r="C41" s="2" t="s">
        <v>20</v>
      </c>
      <c r="D41" s="2"/>
      <c r="E41" s="2"/>
      <c r="F41" s="2"/>
      <c r="G41" s="24">
        <v>2870.4902429100002</v>
      </c>
      <c r="H41" s="38">
        <v>4038.3159558700008</v>
      </c>
      <c r="I41" s="38">
        <v>4902.00848021</v>
      </c>
      <c r="J41" s="38">
        <v>28759.20525047</v>
      </c>
      <c r="K41" s="38">
        <v>6174.6335589400005</v>
      </c>
      <c r="L41" s="38">
        <v>1552.18456894</v>
      </c>
      <c r="M41" s="38">
        <v>3710.0037823600001</v>
      </c>
      <c r="N41" s="38">
        <v>26493.33175368001</v>
      </c>
      <c r="O41" s="38">
        <v>13754.595637949995</v>
      </c>
      <c r="P41" s="38">
        <f t="shared" si="82"/>
        <v>92254.769231330007</v>
      </c>
      <c r="Q41" s="24">
        <v>94085.306289238797</v>
      </c>
      <c r="R41" s="38">
        <f t="shared" si="46"/>
        <v>-1830.5370579087903</v>
      </c>
      <c r="S41" s="14">
        <f t="shared" si="83"/>
        <v>-1.9456141772885547E-2</v>
      </c>
      <c r="U41" s="40">
        <v>32503.244305629996</v>
      </c>
      <c r="V41" s="38">
        <f t="shared" si="84"/>
        <v>59751.52492570001</v>
      </c>
      <c r="W41" s="14">
        <f t="shared" si="85"/>
        <v>1.8383249488528826</v>
      </c>
    </row>
    <row r="42" spans="2:23" x14ac:dyDescent="0.3">
      <c r="C42" s="2"/>
      <c r="D42" s="2"/>
      <c r="E42" s="2"/>
      <c r="F42" s="2"/>
      <c r="G42" s="25"/>
      <c r="H42" s="39"/>
      <c r="I42" s="39"/>
      <c r="J42" s="39"/>
      <c r="K42" s="39"/>
      <c r="L42" s="39"/>
      <c r="M42" s="39"/>
      <c r="N42" s="39"/>
      <c r="O42" s="39"/>
      <c r="P42" s="39"/>
      <c r="Q42" s="25"/>
      <c r="R42" s="39"/>
      <c r="S42" s="14"/>
      <c r="U42" s="39"/>
      <c r="V42" s="39"/>
      <c r="W42" s="14"/>
    </row>
    <row r="43" spans="2:23" x14ac:dyDescent="0.3">
      <c r="B43" s="5" t="s">
        <v>6</v>
      </c>
      <c r="C43" s="6"/>
      <c r="D43" s="6"/>
      <c r="E43" s="6"/>
      <c r="F43" s="6"/>
      <c r="G43" s="26">
        <f t="shared" ref="G43:R43" si="86">+G30+G32-G39+G36-G37</f>
        <v>-8715.5890514762013</v>
      </c>
      <c r="H43" s="37">
        <f t="shared" si="86"/>
        <v>5871.3487235790672</v>
      </c>
      <c r="I43" s="37">
        <f t="shared" si="86"/>
        <v>2787.0715972729158</v>
      </c>
      <c r="J43" s="37">
        <f t="shared" ref="J43" si="87">+J30+J32-J39+J36-J37</f>
        <v>-28726.128503336033</v>
      </c>
      <c r="K43" s="37">
        <f t="shared" ref="K43:M43" si="88">+K30+K32-K39+K36-K37</f>
        <v>31794.009920527325</v>
      </c>
      <c r="L43" s="37">
        <f t="shared" si="88"/>
        <v>45423.844971471714</v>
      </c>
      <c r="M43" s="37">
        <f t="shared" si="88"/>
        <v>-10945.048466096372</v>
      </c>
      <c r="N43" s="37">
        <f t="shared" ref="N43:O43" si="89">+N30+N32-N39+N36-N37</f>
        <v>-3956.4338429043109</v>
      </c>
      <c r="O43" s="37">
        <f t="shared" si="89"/>
        <v>-13139.233656125667</v>
      </c>
      <c r="P43" s="37">
        <f t="shared" si="86"/>
        <v>20393.841692912316</v>
      </c>
      <c r="Q43" s="26">
        <f t="shared" si="86"/>
        <v>6304.7707980876221</v>
      </c>
      <c r="R43" s="37">
        <f t="shared" si="86"/>
        <v>14089.070894824854</v>
      </c>
      <c r="S43" s="13">
        <f>R43/ABS(Q43)</f>
        <v>2.2346682133311466</v>
      </c>
      <c r="U43" s="37">
        <f>+U30+U32-U39+U36-U37</f>
        <v>31249.892084131865</v>
      </c>
      <c r="V43" s="37">
        <f>+V30+V32-V39+V36-V37</f>
        <v>-10856.050391219513</v>
      </c>
      <c r="W43" s="13">
        <f>V43/ABS(U43)</f>
        <v>-0.34739481218023216</v>
      </c>
    </row>
    <row r="44" spans="2:23" x14ac:dyDescent="0.3">
      <c r="B44" s="6"/>
      <c r="C44" s="6"/>
      <c r="D44" s="6"/>
      <c r="E44" s="6"/>
      <c r="F44" s="6"/>
      <c r="G44" s="26"/>
      <c r="H44" s="37"/>
      <c r="I44" s="37"/>
      <c r="J44" s="37"/>
      <c r="K44" s="37"/>
      <c r="L44" s="37"/>
      <c r="M44" s="37"/>
      <c r="N44" s="37"/>
      <c r="O44" s="37"/>
      <c r="P44" s="37"/>
      <c r="Q44" s="26"/>
      <c r="R44" s="37"/>
      <c r="S44" s="14"/>
      <c r="U44" s="37"/>
      <c r="V44" s="37"/>
      <c r="W44" s="14"/>
    </row>
    <row r="45" spans="2:23" ht="16.2" thickBot="1" x14ac:dyDescent="0.35">
      <c r="B45" s="5" t="s">
        <v>7</v>
      </c>
      <c r="C45" s="6"/>
      <c r="D45" s="6"/>
      <c r="E45" s="6"/>
      <c r="F45" s="6"/>
      <c r="G45" s="26">
        <f t="shared" ref="G45:R45" si="90">+G30+G23</f>
        <v>-4383.2213567838025</v>
      </c>
      <c r="H45" s="37">
        <f t="shared" si="90"/>
        <v>10457.43922682507</v>
      </c>
      <c r="I45" s="37">
        <f t="shared" si="90"/>
        <v>14754.830556309716</v>
      </c>
      <c r="J45" s="37">
        <f t="shared" ref="J45" si="91">+J30+J23</f>
        <v>13760.475296367465</v>
      </c>
      <c r="K45" s="37">
        <f t="shared" ref="K45:M45" si="92">+K30+K23</f>
        <v>268.40377698691736</v>
      </c>
      <c r="L45" s="37">
        <f t="shared" si="92"/>
        <v>21343.64738165832</v>
      </c>
      <c r="M45" s="37">
        <f t="shared" si="92"/>
        <v>6115.3322927536192</v>
      </c>
      <c r="N45" s="37">
        <f t="shared" ref="N45:O45" si="93">+N30+N23</f>
        <v>13070.7953569608</v>
      </c>
      <c r="O45" s="37">
        <f t="shared" si="93"/>
        <v>13640.533605004326</v>
      </c>
      <c r="P45" s="37">
        <f t="shared" si="90"/>
        <v>89028.236136082298</v>
      </c>
      <c r="Q45" s="26">
        <f t="shared" si="90"/>
        <v>90913.155927177024</v>
      </c>
      <c r="R45" s="37">
        <f t="shared" si="90"/>
        <v>-1884.9197910945513</v>
      </c>
      <c r="S45" s="13">
        <f>R45/ABS(Q45)</f>
        <v>-2.0733190613296981E-2</v>
      </c>
      <c r="T45" s="52"/>
      <c r="U45" s="37">
        <f>+U30+U23</f>
        <v>119267.12569119898</v>
      </c>
      <c r="V45" s="37">
        <f>+V30+V23</f>
        <v>-30238.889555116642</v>
      </c>
      <c r="W45" s="13">
        <f>V45/ABS(U45)</f>
        <v>-0.2535391825691331</v>
      </c>
    </row>
    <row r="46" spans="2:23" x14ac:dyDescent="0.3">
      <c r="B46" s="1"/>
      <c r="C46" s="1"/>
      <c r="D46" s="1"/>
      <c r="E46" s="1"/>
      <c r="F46" s="1"/>
      <c r="G46" s="27"/>
      <c r="H46" s="42"/>
      <c r="I46" s="42"/>
      <c r="J46" s="42"/>
      <c r="K46" s="42"/>
      <c r="L46" s="42"/>
      <c r="M46" s="42"/>
      <c r="N46" s="42"/>
      <c r="O46" s="42"/>
      <c r="P46" s="42"/>
      <c r="Q46" s="27"/>
      <c r="R46" s="42"/>
      <c r="S46" s="19"/>
      <c r="U46" s="42"/>
      <c r="V46" s="42"/>
      <c r="W46" s="19"/>
    </row>
    <row r="47" spans="2:23" x14ac:dyDescent="0.3">
      <c r="B47" s="2"/>
      <c r="C47" s="2"/>
      <c r="D47" s="2"/>
      <c r="E47" s="2"/>
      <c r="F47" s="2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8"/>
      <c r="R47" s="49"/>
      <c r="S47" s="50"/>
      <c r="U47" s="49"/>
      <c r="V47" s="49"/>
      <c r="W47" s="50"/>
    </row>
    <row r="48" spans="2:23" x14ac:dyDescent="0.3">
      <c r="B48" s="5" t="s">
        <v>8</v>
      </c>
      <c r="F48" s="2"/>
      <c r="G48" s="20"/>
      <c r="H48" s="33"/>
      <c r="I48" s="33"/>
      <c r="J48" s="33"/>
      <c r="K48" s="33"/>
      <c r="L48" s="33"/>
      <c r="M48" s="33"/>
      <c r="N48" s="33"/>
      <c r="O48" s="33"/>
      <c r="P48" s="33"/>
      <c r="Q48" s="20"/>
      <c r="R48" s="33"/>
      <c r="S48" s="18"/>
      <c r="U48" s="33"/>
      <c r="V48" s="33"/>
      <c r="W48" s="18"/>
    </row>
    <row r="49" spans="2:23" x14ac:dyDescent="0.3">
      <c r="B49" s="5" t="str">
        <f>B4</f>
        <v>FY 2023/24</v>
      </c>
      <c r="D49" s="2"/>
      <c r="E49" s="2"/>
      <c r="F49" s="2"/>
      <c r="G49" s="20"/>
      <c r="H49" s="33"/>
      <c r="I49" s="33"/>
      <c r="J49" s="33"/>
      <c r="K49" s="33"/>
      <c r="L49" s="33"/>
      <c r="M49" s="33"/>
      <c r="N49" s="33"/>
      <c r="O49" s="33"/>
      <c r="P49" s="33"/>
      <c r="Q49" s="20"/>
      <c r="R49" s="33"/>
      <c r="U49" s="33"/>
      <c r="V49" s="33"/>
    </row>
    <row r="50" spans="2:23" x14ac:dyDescent="0.3">
      <c r="B50" s="2" t="s">
        <v>14</v>
      </c>
      <c r="D50" s="2"/>
      <c r="E50" s="2"/>
      <c r="F50" s="2"/>
      <c r="G50" s="20"/>
      <c r="H50" s="33"/>
      <c r="I50" s="33"/>
      <c r="J50" s="33"/>
      <c r="K50" s="33"/>
      <c r="L50" s="33"/>
      <c r="M50" s="33"/>
      <c r="N50" s="33"/>
      <c r="O50" s="33"/>
      <c r="P50" s="33"/>
      <c r="Q50" s="20"/>
      <c r="R50" s="33"/>
      <c r="U50" s="33"/>
      <c r="V50" s="33"/>
    </row>
    <row r="51" spans="2:23" x14ac:dyDescent="0.3">
      <c r="B51" s="2"/>
      <c r="C51" s="2"/>
      <c r="D51" s="2"/>
      <c r="E51" s="2"/>
      <c r="F51" s="2"/>
      <c r="G51" s="20"/>
      <c r="H51" s="33"/>
      <c r="I51" s="33"/>
      <c r="J51" s="33"/>
      <c r="K51" s="33"/>
      <c r="L51" s="33"/>
      <c r="M51" s="33"/>
      <c r="N51" s="33"/>
      <c r="O51" s="33"/>
      <c r="P51" s="33"/>
      <c r="Q51" s="20"/>
      <c r="R51" s="33"/>
      <c r="U51" s="33"/>
      <c r="V51" s="33"/>
    </row>
    <row r="52" spans="2:23" ht="54" x14ac:dyDescent="0.35">
      <c r="B52" s="7"/>
      <c r="C52" s="7"/>
      <c r="D52" s="7"/>
      <c r="E52" s="7"/>
      <c r="F52" s="7"/>
      <c r="G52" s="22" t="s">
        <v>61</v>
      </c>
      <c r="H52" s="35" t="s">
        <v>61</v>
      </c>
      <c r="I52" s="35" t="s">
        <v>61</v>
      </c>
      <c r="J52" s="35" t="s">
        <v>61</v>
      </c>
      <c r="K52" s="35" t="s">
        <v>61</v>
      </c>
      <c r="L52" s="35" t="s">
        <v>61</v>
      </c>
      <c r="M52" s="35" t="s">
        <v>61</v>
      </c>
      <c r="N52" s="35" t="s">
        <v>61</v>
      </c>
      <c r="O52" s="35" t="s">
        <v>61</v>
      </c>
      <c r="P52" s="35" t="s">
        <v>61</v>
      </c>
      <c r="Q52" s="51" t="str">
        <f>Q7</f>
        <v>Third
Supplementary
Estimates</v>
      </c>
      <c r="R52" s="35"/>
      <c r="S52" s="11"/>
      <c r="T52" s="11"/>
      <c r="U52" s="35" t="str">
        <f>U7</f>
        <v>FY 2022/23</v>
      </c>
      <c r="V52" s="35"/>
      <c r="W52" s="11"/>
    </row>
    <row r="53" spans="2:23" ht="18" x14ac:dyDescent="0.35">
      <c r="B53" s="8" t="s">
        <v>0</v>
      </c>
      <c r="C53" s="8"/>
      <c r="D53" s="8"/>
      <c r="E53" s="8"/>
      <c r="F53" s="8"/>
      <c r="G53" s="23" t="str">
        <f>G8</f>
        <v>April</v>
      </c>
      <c r="H53" s="23" t="str">
        <f t="shared" ref="H53:N53" si="94">H8</f>
        <v>May</v>
      </c>
      <c r="I53" s="23" t="str">
        <f t="shared" si="94"/>
        <v>June</v>
      </c>
      <c r="J53" s="23" t="str">
        <f t="shared" si="94"/>
        <v>July</v>
      </c>
      <c r="K53" s="23" t="str">
        <f t="shared" si="94"/>
        <v>August</v>
      </c>
      <c r="L53" s="23" t="str">
        <f t="shared" si="94"/>
        <v>September</v>
      </c>
      <c r="M53" s="23" t="str">
        <f t="shared" si="94"/>
        <v>October</v>
      </c>
      <c r="N53" s="23" t="str">
        <f t="shared" si="94"/>
        <v>November</v>
      </c>
      <c r="O53" s="23" t="str">
        <f>O8</f>
        <v>December</v>
      </c>
      <c r="P53" s="43" t="str">
        <f>+P8</f>
        <v>April-December</v>
      </c>
      <c r="Q53" s="23" t="str">
        <f>+Q8</f>
        <v>April-December</v>
      </c>
      <c r="R53" s="43" t="str">
        <f>R8</f>
        <v>Diff</v>
      </c>
      <c r="S53" s="12" t="str">
        <f>S8</f>
        <v>Diff %</v>
      </c>
      <c r="T53" s="12"/>
      <c r="U53" s="43" t="str">
        <f>+U8</f>
        <v>April-December</v>
      </c>
      <c r="V53" s="43" t="str">
        <f>V8</f>
        <v>Diff</v>
      </c>
      <c r="W53" s="12" t="str">
        <f>W8</f>
        <v>Diff %</v>
      </c>
    </row>
    <row r="54" spans="2:23" x14ac:dyDescent="0.3">
      <c r="B54" s="3"/>
      <c r="C54" s="3"/>
      <c r="D54" s="3"/>
      <c r="E54" s="3"/>
      <c r="F54" s="3"/>
    </row>
    <row r="55" spans="2:23" x14ac:dyDescent="0.3">
      <c r="B55" s="4" t="s">
        <v>1</v>
      </c>
      <c r="C55" s="2"/>
      <c r="D55" s="2"/>
      <c r="E55" s="2"/>
      <c r="F55" s="2"/>
      <c r="G55" s="26">
        <f t="shared" ref="G55:P55" si="95">G57+G90+G92+G94+G96</f>
        <v>60267.499365906202</v>
      </c>
      <c r="H55" s="37">
        <f t="shared" si="95"/>
        <v>69521.43259801509</v>
      </c>
      <c r="I55" s="37">
        <f t="shared" ref="I55:J55" si="96">I57+I90+I92+I94+I96</f>
        <v>76669.955524869714</v>
      </c>
      <c r="J55" s="37">
        <f t="shared" si="96"/>
        <v>74126.865332867397</v>
      </c>
      <c r="K55" s="37">
        <f t="shared" ref="K55:M55" si="97">K57+K90+K92+K94+K96</f>
        <v>66773.118676906917</v>
      </c>
      <c r="L55" s="37">
        <f t="shared" si="97"/>
        <v>79737.753696928397</v>
      </c>
      <c r="M55" s="37">
        <f t="shared" si="97"/>
        <v>67374.260240723612</v>
      </c>
      <c r="N55" s="37">
        <f t="shared" ref="N55:O55" si="98">N57+N90+N92+N94+N96</f>
        <v>67792.310132980681</v>
      </c>
      <c r="O55" s="37">
        <f t="shared" si="98"/>
        <v>78091.48924786436</v>
      </c>
      <c r="P55" s="37">
        <f t="shared" si="95"/>
        <v>640354.68481706223</v>
      </c>
      <c r="Q55" s="26">
        <f t="shared" ref="Q55:R55" si="99">Q57+Q90+Q92+Q94+Q96</f>
        <v>649684.64384143427</v>
      </c>
      <c r="R55" s="37">
        <f t="shared" si="99"/>
        <v>-9329.9590243719213</v>
      </c>
      <c r="S55" s="13">
        <f>R55/ABS(Q55)</f>
        <v>-1.4360750423784133E-2</v>
      </c>
      <c r="U55" s="37">
        <f t="shared" ref="U55:V55" si="100">U57+U90+U92+U94+U96</f>
        <v>567607.88931560901</v>
      </c>
      <c r="V55" s="37">
        <f t="shared" si="100"/>
        <v>72746.795501453336</v>
      </c>
      <c r="W55" s="13">
        <f>V55/ABS(U55)</f>
        <v>0.12816382025480214</v>
      </c>
    </row>
    <row r="56" spans="2:23" x14ac:dyDescent="0.3">
      <c r="B56" s="2"/>
      <c r="C56" s="2"/>
      <c r="D56" s="2" t="s">
        <v>29</v>
      </c>
      <c r="E56" s="2"/>
      <c r="F56" s="2"/>
      <c r="G56" s="26"/>
      <c r="H56" s="37"/>
      <c r="I56" s="37"/>
      <c r="J56" s="37"/>
      <c r="K56" s="37"/>
      <c r="L56" s="37"/>
      <c r="M56" s="37"/>
      <c r="N56" s="37"/>
      <c r="O56" s="37"/>
      <c r="P56" s="37"/>
      <c r="Q56" s="26"/>
      <c r="R56" s="37"/>
      <c r="S56" s="14"/>
      <c r="U56" s="37"/>
      <c r="V56" s="37"/>
      <c r="W56" s="14"/>
    </row>
    <row r="57" spans="2:23" x14ac:dyDescent="0.3">
      <c r="B57" s="4" t="s">
        <v>9</v>
      </c>
      <c r="C57" s="2"/>
      <c r="D57" s="2"/>
      <c r="E57" s="2"/>
      <c r="F57" s="2"/>
      <c r="G57" s="26">
        <f t="shared" ref="G57:P57" si="101">G59+G67+G82</f>
        <v>57703.017859810003</v>
      </c>
      <c r="H57" s="37">
        <f t="shared" si="101"/>
        <v>62859.132922199999</v>
      </c>
      <c r="I57" s="37">
        <f t="shared" ref="I57:J57" si="102">I59+I67+I82</f>
        <v>68409.971422490009</v>
      </c>
      <c r="J57" s="37">
        <f t="shared" si="102"/>
        <v>67399.153127380006</v>
      </c>
      <c r="K57" s="37">
        <f t="shared" ref="K57:M57" si="103">K59+K67+K82</f>
        <v>60563.870027937315</v>
      </c>
      <c r="L57" s="37">
        <f t="shared" si="103"/>
        <v>73159.117633670001</v>
      </c>
      <c r="M57" s="37">
        <f t="shared" si="103"/>
        <v>59756.305239380003</v>
      </c>
      <c r="N57" s="37">
        <f t="shared" ref="N57:O57" si="104">N59+N67+N82</f>
        <v>62377.608524650001</v>
      </c>
      <c r="O57" s="37">
        <f t="shared" si="104"/>
        <v>69539.005701892296</v>
      </c>
      <c r="P57" s="37">
        <f t="shared" si="101"/>
        <v>581767.18245940958</v>
      </c>
      <c r="Q57" s="26">
        <f t="shared" ref="Q57:R57" si="105">Q59+Q67+Q82</f>
        <v>590554.94350201986</v>
      </c>
      <c r="R57" s="37">
        <f t="shared" si="105"/>
        <v>-8787.7610426103129</v>
      </c>
      <c r="S57" s="13">
        <f>R57/ABS(Q57)</f>
        <v>-1.4880513895114411E-2</v>
      </c>
      <c r="U57" s="37">
        <f t="shared" ref="U57:V57" si="106">U59+U67+U82</f>
        <v>519335.67523118999</v>
      </c>
      <c r="V57" s="37">
        <f t="shared" si="106"/>
        <v>62431.507228219576</v>
      </c>
      <c r="W57" s="13">
        <f>V57/ABS(U57)</f>
        <v>0.12021417015194895</v>
      </c>
    </row>
    <row r="58" spans="2:23" x14ac:dyDescent="0.3">
      <c r="B58" s="2"/>
      <c r="C58" s="2"/>
      <c r="D58" s="2"/>
      <c r="E58" s="2"/>
      <c r="F58" s="2"/>
      <c r="G58" s="25"/>
      <c r="H58" s="39"/>
      <c r="I58" s="39"/>
      <c r="J58" s="39"/>
      <c r="K58" s="39"/>
      <c r="L58" s="39"/>
      <c r="M58" s="39"/>
      <c r="N58" s="39"/>
      <c r="O58" s="39"/>
      <c r="P58" s="39"/>
      <c r="Q58" s="25"/>
      <c r="R58" s="39"/>
      <c r="S58" s="14"/>
      <c r="U58" s="39"/>
      <c r="V58" s="39"/>
      <c r="W58" s="14"/>
    </row>
    <row r="59" spans="2:23" x14ac:dyDescent="0.3">
      <c r="B59" s="2"/>
      <c r="C59" s="2" t="s">
        <v>21</v>
      </c>
      <c r="D59" s="2"/>
      <c r="E59" s="2"/>
      <c r="F59" s="2"/>
      <c r="G59" s="24">
        <f t="shared" ref="G59" si="107">SUM(G60:G65)</f>
        <v>15713.096815999999</v>
      </c>
      <c r="H59" s="38">
        <f t="shared" ref="H59:I59" si="108">SUM(H60:H65)</f>
        <v>14755.767506</v>
      </c>
      <c r="I59" s="38">
        <f t="shared" si="108"/>
        <v>25975.938241999997</v>
      </c>
      <c r="J59" s="38">
        <f t="shared" ref="J59" si="109">SUM(J60:J65)</f>
        <v>19236.062488</v>
      </c>
      <c r="K59" s="38">
        <f t="shared" ref="K59:M59" si="110">SUM(K60:K65)</f>
        <v>13685.884989000002</v>
      </c>
      <c r="L59" s="38">
        <f t="shared" si="110"/>
        <v>27107.478163</v>
      </c>
      <c r="M59" s="38">
        <f t="shared" si="110"/>
        <v>13762.493433000001</v>
      </c>
      <c r="N59" s="38">
        <f t="shared" ref="N59:O59" si="111">SUM(N60:N65)</f>
        <v>15830.916522000001</v>
      </c>
      <c r="O59" s="38">
        <f t="shared" si="111"/>
        <v>27702.251688999997</v>
      </c>
      <c r="P59" s="38">
        <f t="shared" ref="P59" si="112">SUM(P60:P65)</f>
        <v>173769.88984799999</v>
      </c>
      <c r="Q59" s="24">
        <f t="shared" ref="Q59" si="113">SUM(Q60:Q65)</f>
        <v>171083.49378803125</v>
      </c>
      <c r="R59" s="38">
        <f t="shared" ref="R59" si="114">SUM(R60:R65)</f>
        <v>2686.3960599687466</v>
      </c>
      <c r="S59" s="14">
        <f t="shared" ref="S59:S88" si="115">R59/ABS(Q59)</f>
        <v>1.5702251576047033E-2</v>
      </c>
      <c r="U59" s="38">
        <f t="shared" ref="U59:V59" si="116">SUM(U60:U65)</f>
        <v>131026.99070699001</v>
      </c>
      <c r="V59" s="38">
        <f t="shared" si="116"/>
        <v>42742.899141009984</v>
      </c>
      <c r="W59" s="14">
        <f t="shared" ref="W59:W88" si="117">V59/ABS(U59)</f>
        <v>0.32621446093190126</v>
      </c>
    </row>
    <row r="60" spans="2:23" x14ac:dyDescent="0.3">
      <c r="B60" s="2"/>
      <c r="C60" s="2"/>
      <c r="D60" s="2" t="s">
        <v>30</v>
      </c>
      <c r="E60" s="2"/>
      <c r="F60" s="2"/>
      <c r="G60" s="24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f t="shared" ref="P60:P65" si="118">+G60+H60+I60+J60+K60+L60+M60+N60+O60</f>
        <v>0</v>
      </c>
      <c r="Q60" s="24">
        <v>0</v>
      </c>
      <c r="R60" s="38">
        <f t="shared" ref="R60:R65" si="119">P60-Q60</f>
        <v>0</v>
      </c>
      <c r="S60" s="14">
        <v>0</v>
      </c>
      <c r="U60" s="40">
        <v>0</v>
      </c>
      <c r="V60" s="38">
        <f t="shared" ref="V60:V65" si="120">P60-U60</f>
        <v>0</v>
      </c>
      <c r="W60" s="14">
        <v>0</v>
      </c>
    </row>
    <row r="61" spans="2:23" x14ac:dyDescent="0.3">
      <c r="B61" s="2"/>
      <c r="C61" s="2"/>
      <c r="D61" s="2" t="s">
        <v>31</v>
      </c>
      <c r="E61" s="2"/>
      <c r="F61" s="2"/>
      <c r="G61" s="24">
        <v>919.66774199999998</v>
      </c>
      <c r="H61" s="38">
        <v>1384.3951939999999</v>
      </c>
      <c r="I61" s="38">
        <v>14099.436938999999</v>
      </c>
      <c r="J61" s="38">
        <v>1037.7508419999976</v>
      </c>
      <c r="K61" s="38">
        <v>1350</v>
      </c>
      <c r="L61" s="38">
        <v>14377.699842</v>
      </c>
      <c r="M61" s="38">
        <v>996.29602699999998</v>
      </c>
      <c r="N61" s="38">
        <v>1009.347528</v>
      </c>
      <c r="O61" s="38">
        <v>12071.530132</v>
      </c>
      <c r="P61" s="38">
        <f t="shared" si="118"/>
        <v>47246.124245999992</v>
      </c>
      <c r="Q61" s="24">
        <v>49694.961737501486</v>
      </c>
      <c r="R61" s="38">
        <f t="shared" si="119"/>
        <v>-2448.8374915014938</v>
      </c>
      <c r="S61" s="14">
        <f t="shared" si="115"/>
        <v>-4.9277379554827562E-2</v>
      </c>
      <c r="U61" s="40">
        <v>39259.515566169997</v>
      </c>
      <c r="V61" s="38">
        <f t="shared" si="120"/>
        <v>7986.6086798299948</v>
      </c>
      <c r="W61" s="14">
        <f t="shared" si="117"/>
        <v>0.20343115712594456</v>
      </c>
    </row>
    <row r="62" spans="2:23" x14ac:dyDescent="0.3">
      <c r="B62" s="2"/>
      <c r="C62" s="2"/>
      <c r="D62" s="2" t="s">
        <v>32</v>
      </c>
      <c r="E62" s="2"/>
      <c r="F62" s="2"/>
      <c r="G62" s="24">
        <v>11574.09633</v>
      </c>
      <c r="H62" s="38">
        <v>10254.903591</v>
      </c>
      <c r="I62" s="38">
        <v>8948.1826359999995</v>
      </c>
      <c r="J62" s="38">
        <v>14286.023520000001</v>
      </c>
      <c r="K62" s="38">
        <v>9719.5271260000009</v>
      </c>
      <c r="L62" s="38">
        <v>9022.3184170000004</v>
      </c>
      <c r="M62" s="38">
        <v>9833.8939840000003</v>
      </c>
      <c r="N62" s="38">
        <v>11078.022290000001</v>
      </c>
      <c r="O62" s="38">
        <v>11216.426708999999</v>
      </c>
      <c r="P62" s="38">
        <f t="shared" si="118"/>
        <v>95933.394602999993</v>
      </c>
      <c r="Q62" s="24">
        <v>92581.526768698444</v>
      </c>
      <c r="R62" s="38">
        <f t="shared" si="119"/>
        <v>3351.867834301549</v>
      </c>
      <c r="S62" s="14">
        <f t="shared" si="115"/>
        <v>3.6204499442698823E-2</v>
      </c>
      <c r="U62" s="40">
        <v>66898.505844760002</v>
      </c>
      <c r="V62" s="38">
        <f t="shared" si="120"/>
        <v>29034.888758239991</v>
      </c>
      <c r="W62" s="14">
        <f t="shared" si="117"/>
        <v>0.43401400960458408</v>
      </c>
    </row>
    <row r="63" spans="2:23" x14ac:dyDescent="0.3">
      <c r="B63" s="2"/>
      <c r="C63" s="2"/>
      <c r="D63" s="2" t="s">
        <v>33</v>
      </c>
      <c r="E63" s="2"/>
      <c r="F63" s="2"/>
      <c r="G63" s="24">
        <v>127.5</v>
      </c>
      <c r="H63" s="38">
        <v>153.59107800000001</v>
      </c>
      <c r="I63" s="38">
        <v>146.71923000000001</v>
      </c>
      <c r="J63" s="38">
        <v>707.24205199999994</v>
      </c>
      <c r="K63" s="38">
        <v>212.69663600000001</v>
      </c>
      <c r="L63" s="38">
        <v>175.68042800000001</v>
      </c>
      <c r="M63" s="38">
        <v>271.77717799999999</v>
      </c>
      <c r="N63" s="38">
        <v>500.40452699999997</v>
      </c>
      <c r="O63" s="38">
        <v>214.204958</v>
      </c>
      <c r="P63" s="38">
        <f t="shared" si="118"/>
        <v>2509.8160870000002</v>
      </c>
      <c r="Q63" s="24">
        <v>2692.6390898632731</v>
      </c>
      <c r="R63" s="38">
        <f t="shared" si="119"/>
        <v>-182.8230028632729</v>
      </c>
      <c r="S63" s="14">
        <f t="shared" si="115"/>
        <v>-6.7897329260178094E-2</v>
      </c>
      <c r="U63" s="40">
        <v>2499.8868969999999</v>
      </c>
      <c r="V63" s="38">
        <f t="shared" si="120"/>
        <v>9.9291900000002897</v>
      </c>
      <c r="W63" s="14">
        <f t="shared" si="117"/>
        <v>3.9718556915178272E-3</v>
      </c>
    </row>
    <row r="64" spans="2:23" x14ac:dyDescent="0.3">
      <c r="B64" s="2"/>
      <c r="C64" s="2"/>
      <c r="D64" s="2" t="s">
        <v>34</v>
      </c>
      <c r="E64" s="2"/>
      <c r="F64" s="2"/>
      <c r="G64" s="24">
        <v>373.93090999999998</v>
      </c>
      <c r="H64" s="38">
        <v>454.25617399999999</v>
      </c>
      <c r="I64" s="38">
        <v>633.111448</v>
      </c>
      <c r="J64" s="38">
        <v>205.26455300000001</v>
      </c>
      <c r="K64" s="38">
        <v>274.74682000000001</v>
      </c>
      <c r="L64" s="38">
        <v>393.76782700000001</v>
      </c>
      <c r="M64" s="38">
        <v>185.04929999999999</v>
      </c>
      <c r="N64" s="38">
        <v>201.61476500000001</v>
      </c>
      <c r="O64" s="38">
        <v>417.28152999999998</v>
      </c>
      <c r="P64" s="38">
        <f t="shared" si="118"/>
        <v>3139.0233269999999</v>
      </c>
      <c r="Q64" s="24">
        <v>3429.735876267785</v>
      </c>
      <c r="R64" s="38">
        <f t="shared" si="119"/>
        <v>-290.71254926778511</v>
      </c>
      <c r="S64" s="14">
        <f t="shared" si="115"/>
        <v>-8.4762372309595019E-2</v>
      </c>
      <c r="U64" s="40">
        <v>3136.5564058699997</v>
      </c>
      <c r="V64" s="38">
        <f t="shared" si="120"/>
        <v>2.4669211300001734</v>
      </c>
      <c r="W64" s="14">
        <f t="shared" si="117"/>
        <v>7.8650622236009602E-4</v>
      </c>
    </row>
    <row r="65" spans="2:23" x14ac:dyDescent="0.3">
      <c r="B65" s="2"/>
      <c r="C65" s="2"/>
      <c r="D65" s="2" t="s">
        <v>35</v>
      </c>
      <c r="E65" s="2"/>
      <c r="F65" s="2"/>
      <c r="G65" s="24">
        <v>2717.9018339999998</v>
      </c>
      <c r="H65" s="38">
        <v>2508.6214690000002</v>
      </c>
      <c r="I65" s="38">
        <v>2148.4879890000002</v>
      </c>
      <c r="J65" s="38">
        <v>2999.7815209999999</v>
      </c>
      <c r="K65" s="38">
        <v>2128.9144070000002</v>
      </c>
      <c r="L65" s="38">
        <v>3138.011649</v>
      </c>
      <c r="M65" s="38">
        <v>2475.476944</v>
      </c>
      <c r="N65" s="38">
        <v>3041.5274119999999</v>
      </c>
      <c r="O65" s="38">
        <v>3782.80836</v>
      </c>
      <c r="P65" s="38">
        <f t="shared" si="118"/>
        <v>24941.531584999997</v>
      </c>
      <c r="Q65" s="24">
        <v>22684.630315700248</v>
      </c>
      <c r="R65" s="38">
        <f t="shared" si="119"/>
        <v>2256.9012692997494</v>
      </c>
      <c r="S65" s="14">
        <f t="shared" si="115"/>
        <v>9.9490326176385896E-2</v>
      </c>
      <c r="U65" s="40">
        <v>19232.52599319</v>
      </c>
      <c r="V65" s="38">
        <f t="shared" si="120"/>
        <v>5709.005591809997</v>
      </c>
      <c r="W65" s="14">
        <f t="shared" si="117"/>
        <v>0.29684117384432424</v>
      </c>
    </row>
    <row r="66" spans="2:23" x14ac:dyDescent="0.3">
      <c r="B66" s="2"/>
      <c r="C66" s="2"/>
      <c r="D66" s="2"/>
      <c r="E66" s="2"/>
      <c r="F66" s="2"/>
      <c r="G66" s="24"/>
      <c r="H66" s="38"/>
      <c r="I66" s="38"/>
      <c r="J66" s="38"/>
      <c r="K66" s="38"/>
      <c r="L66" s="38"/>
      <c r="M66" s="38"/>
      <c r="N66" s="38"/>
      <c r="O66" s="38"/>
      <c r="P66" s="38"/>
      <c r="Q66" s="24"/>
      <c r="R66" s="38"/>
      <c r="S66" s="14"/>
      <c r="U66" s="38"/>
      <c r="V66" s="38"/>
      <c r="W66" s="14"/>
    </row>
    <row r="67" spans="2:23" x14ac:dyDescent="0.3">
      <c r="B67" s="2"/>
      <c r="C67" s="2" t="s">
        <v>23</v>
      </c>
      <c r="D67" s="2"/>
      <c r="E67" s="2"/>
      <c r="F67" s="2"/>
      <c r="G67" s="24">
        <f t="shared" ref="G67:Q67" si="121">SUM(G68:G80)</f>
        <v>21312.800943690003</v>
      </c>
      <c r="H67" s="38">
        <f t="shared" ref="H67:P67" si="122">SUM(H68:H80)</f>
        <v>21004.287187250004</v>
      </c>
      <c r="I67" s="38">
        <f t="shared" ref="I67:J67" si="123">SUM(I68:I80)</f>
        <v>19427.846938730003</v>
      </c>
      <c r="J67" s="38">
        <f t="shared" si="123"/>
        <v>20951.339506869997</v>
      </c>
      <c r="K67" s="38">
        <f t="shared" ref="K67:M67" si="124">SUM(K68:K80)</f>
        <v>21335.787957987308</v>
      </c>
      <c r="L67" s="38">
        <f t="shared" si="124"/>
        <v>21323.933880279998</v>
      </c>
      <c r="M67" s="38">
        <f t="shared" si="124"/>
        <v>20614.21515435</v>
      </c>
      <c r="N67" s="38">
        <f t="shared" ref="N67:O67" si="125">SUM(N68:N80)</f>
        <v>21165.115838500002</v>
      </c>
      <c r="O67" s="38">
        <f t="shared" si="125"/>
        <v>20542.098969262297</v>
      </c>
      <c r="P67" s="38">
        <f t="shared" si="122"/>
        <v>187677.42637691961</v>
      </c>
      <c r="Q67" s="24">
        <f t="shared" si="121"/>
        <v>195016.04480149879</v>
      </c>
      <c r="R67" s="38">
        <f t="shared" ref="R67" si="126">SUM(R68:R80)</f>
        <v>-7338.618424579181</v>
      </c>
      <c r="S67" s="14">
        <f t="shared" si="115"/>
        <v>-3.7630844334110812E-2</v>
      </c>
      <c r="U67" s="38">
        <f t="shared" ref="U67:V67" si="127">SUM(U68:U80)</f>
        <v>175254.78541411</v>
      </c>
      <c r="V67" s="38">
        <f t="shared" si="127"/>
        <v>12422.640962809601</v>
      </c>
      <c r="W67" s="14">
        <f t="shared" si="117"/>
        <v>7.0883319582150689E-2</v>
      </c>
    </row>
    <row r="68" spans="2:23" x14ac:dyDescent="0.3">
      <c r="B68" s="2"/>
      <c r="C68" s="2"/>
      <c r="D68" s="4" t="s">
        <v>54</v>
      </c>
      <c r="E68" s="2"/>
      <c r="F68" s="2"/>
      <c r="G68" s="32">
        <v>9.0523539999999993</v>
      </c>
      <c r="H68" s="40">
        <v>11.012185000000001</v>
      </c>
      <c r="I68" s="40">
        <v>7.9213279999999999</v>
      </c>
      <c r="J68" s="40">
        <v>5.634239</v>
      </c>
      <c r="K68" s="40">
        <v>7.575996</v>
      </c>
      <c r="L68" s="40">
        <v>8.3055199999999996</v>
      </c>
      <c r="M68" s="40">
        <v>8.8629529999999992</v>
      </c>
      <c r="N68" s="40">
        <v>7.9150780000000003</v>
      </c>
      <c r="O68" s="40">
        <v>6.5036180000000003</v>
      </c>
      <c r="P68" s="38">
        <f t="shared" ref="P68:P80" si="128">+G68+H68+I68+J68+K68+L68+M68+N68+O68</f>
        <v>72.783270999999999</v>
      </c>
      <c r="Q68" s="32">
        <v>58.364574999999995</v>
      </c>
      <c r="R68" s="38">
        <f t="shared" ref="R68:R80" si="129">P68-Q68</f>
        <v>14.418696000000004</v>
      </c>
      <c r="S68" s="14">
        <f t="shared" si="115"/>
        <v>0.24704533529114203</v>
      </c>
      <c r="U68" s="40">
        <v>87.328676999999999</v>
      </c>
      <c r="V68" s="38">
        <f t="shared" ref="V68:V80" si="130">P68-U68</f>
        <v>-14.545406</v>
      </c>
      <c r="W68" s="14">
        <f t="shared" si="117"/>
        <v>-0.16655933079119017</v>
      </c>
    </row>
    <row r="69" spans="2:23" x14ac:dyDescent="0.3">
      <c r="B69" s="2"/>
      <c r="C69" s="2"/>
      <c r="D69" s="2" t="s">
        <v>36</v>
      </c>
      <c r="E69" s="2"/>
      <c r="F69" s="2"/>
      <c r="G69" s="32">
        <v>2012.138813</v>
      </c>
      <c r="H69" s="40">
        <v>2487.4062290000002</v>
      </c>
      <c r="I69" s="40">
        <v>1570.677179</v>
      </c>
      <c r="J69" s="40">
        <v>1428.8264469999999</v>
      </c>
      <c r="K69" s="40">
        <v>1248.8072930000001</v>
      </c>
      <c r="L69" s="40">
        <v>1644.6321889999999</v>
      </c>
      <c r="M69" s="40">
        <v>2591.3847139999998</v>
      </c>
      <c r="N69" s="40">
        <v>2474.323206</v>
      </c>
      <c r="O69" s="40">
        <v>1081.928032</v>
      </c>
      <c r="P69" s="38">
        <f t="shared" si="128"/>
        <v>16540.124101999998</v>
      </c>
      <c r="Q69" s="32">
        <v>17779.28738924037</v>
      </c>
      <c r="R69" s="38">
        <f t="shared" si="129"/>
        <v>-1239.1632872403716</v>
      </c>
      <c r="S69" s="14">
        <f t="shared" si="115"/>
        <v>-6.9697016540172796E-2</v>
      </c>
      <c r="U69" s="40">
        <v>20556.077107699999</v>
      </c>
      <c r="V69" s="38">
        <f t="shared" si="130"/>
        <v>-4015.9530057000011</v>
      </c>
      <c r="W69" s="14">
        <f t="shared" si="117"/>
        <v>-0.19536572978682226</v>
      </c>
    </row>
    <row r="70" spans="2:23" x14ac:dyDescent="0.3">
      <c r="B70" s="2"/>
      <c r="D70" s="2" t="s">
        <v>22</v>
      </c>
      <c r="E70" s="2"/>
      <c r="F70" s="2"/>
      <c r="G70" s="32">
        <v>181.884142</v>
      </c>
      <c r="H70" s="40">
        <v>7.2503799999999998</v>
      </c>
      <c r="I70" s="40">
        <v>2.5640900000000002</v>
      </c>
      <c r="J70" s="40">
        <v>187.84485799999999</v>
      </c>
      <c r="K70" s="40">
        <v>6.2832499999999998</v>
      </c>
      <c r="L70" s="40">
        <v>2.5098129999999998</v>
      </c>
      <c r="M70" s="40">
        <v>202.20858899999999</v>
      </c>
      <c r="N70" s="40">
        <v>8.6909189999999992</v>
      </c>
      <c r="O70" s="40">
        <v>5.3767579999999997</v>
      </c>
      <c r="P70" s="38">
        <f t="shared" si="128"/>
        <v>604.612799</v>
      </c>
      <c r="Q70" s="32">
        <v>602.45383448988457</v>
      </c>
      <c r="R70" s="38">
        <f t="shared" si="129"/>
        <v>2.1589645101154247</v>
      </c>
      <c r="S70" s="14">
        <f t="shared" si="115"/>
        <v>3.5836181737368866E-3</v>
      </c>
      <c r="U70" s="40">
        <v>505.13063399999999</v>
      </c>
      <c r="V70" s="38">
        <f t="shared" si="130"/>
        <v>99.482165000000009</v>
      </c>
      <c r="W70" s="14">
        <f t="shared" si="117"/>
        <v>0.19694344057541363</v>
      </c>
    </row>
    <row r="71" spans="2:23" x14ac:dyDescent="0.3">
      <c r="B71" s="2"/>
      <c r="C71" s="2"/>
      <c r="D71" s="2" t="s">
        <v>37</v>
      </c>
      <c r="E71" s="2"/>
      <c r="F71" s="2"/>
      <c r="G71" s="32">
        <v>363.01603699999998</v>
      </c>
      <c r="H71" s="40">
        <v>426.702676</v>
      </c>
      <c r="I71" s="40">
        <v>403.11858799999999</v>
      </c>
      <c r="J71" s="40">
        <v>429.00049300000001</v>
      </c>
      <c r="K71" s="40">
        <v>419.049463</v>
      </c>
      <c r="L71" s="40">
        <v>418.71862800000002</v>
      </c>
      <c r="M71" s="40">
        <v>428.97008199999999</v>
      </c>
      <c r="N71" s="40">
        <v>459.63003500000002</v>
      </c>
      <c r="O71" s="40">
        <v>444.717038</v>
      </c>
      <c r="P71" s="38">
        <f t="shared" si="128"/>
        <v>3792.9230399999997</v>
      </c>
      <c r="Q71" s="32">
        <v>3875.6645660332761</v>
      </c>
      <c r="R71" s="38">
        <f t="shared" si="129"/>
        <v>-82.741526033276386</v>
      </c>
      <c r="S71" s="14">
        <f t="shared" si="115"/>
        <v>-2.1348990508216748E-2</v>
      </c>
      <c r="U71" s="40">
        <v>4333.2880505000003</v>
      </c>
      <c r="V71" s="38">
        <f t="shared" si="130"/>
        <v>-540.36501050000061</v>
      </c>
      <c r="W71" s="14">
        <f t="shared" si="117"/>
        <v>-0.12470092091792746</v>
      </c>
    </row>
    <row r="72" spans="2:23" x14ac:dyDescent="0.3">
      <c r="B72" s="2"/>
      <c r="C72" s="2"/>
      <c r="D72" s="2" t="s">
        <v>38</v>
      </c>
      <c r="E72" s="2"/>
      <c r="F72" s="2"/>
      <c r="G72" s="32">
        <v>165.61256668999999</v>
      </c>
      <c r="H72" s="40">
        <v>72.837342250000006</v>
      </c>
      <c r="I72" s="40">
        <v>114.92076673</v>
      </c>
      <c r="J72" s="40">
        <v>97.456759869999999</v>
      </c>
      <c r="K72" s="40">
        <v>85.805665987309297</v>
      </c>
      <c r="L72" s="40">
        <v>93.078515280000005</v>
      </c>
      <c r="M72" s="40">
        <v>18.374615349999999</v>
      </c>
      <c r="N72" s="40">
        <v>78.354192499999996</v>
      </c>
      <c r="O72" s="40">
        <v>69.142038080000006</v>
      </c>
      <c r="P72" s="38">
        <f t="shared" si="128"/>
        <v>795.58246273730924</v>
      </c>
      <c r="Q72" s="32">
        <v>902.20918667245121</v>
      </c>
      <c r="R72" s="38">
        <f t="shared" si="129"/>
        <v>-106.62672393514197</v>
      </c>
      <c r="S72" s="14">
        <f t="shared" si="115"/>
        <v>-0.11818403703957518</v>
      </c>
      <c r="U72" s="40">
        <v>1600.7827124400001</v>
      </c>
      <c r="V72" s="38">
        <f t="shared" si="130"/>
        <v>-805.20024970269083</v>
      </c>
      <c r="W72" s="14">
        <f t="shared" si="117"/>
        <v>-0.5030040888406152</v>
      </c>
    </row>
    <row r="73" spans="2:23" x14ac:dyDescent="0.3">
      <c r="B73" s="2"/>
      <c r="C73" s="2"/>
      <c r="D73" s="2" t="s">
        <v>58</v>
      </c>
      <c r="E73" s="2"/>
      <c r="F73" s="2"/>
      <c r="G73" s="32">
        <v>2.2003590000000002</v>
      </c>
      <c r="H73" s="40">
        <v>0</v>
      </c>
      <c r="I73" s="40">
        <v>8.6211249999999993</v>
      </c>
      <c r="J73" s="40">
        <v>0</v>
      </c>
      <c r="K73" s="40">
        <v>1.293479</v>
      </c>
      <c r="L73" s="40">
        <v>1.5870550000000001</v>
      </c>
      <c r="M73" s="40">
        <v>0</v>
      </c>
      <c r="N73" s="40">
        <v>10.13852</v>
      </c>
      <c r="O73" s="40">
        <v>0.328270182299848</v>
      </c>
      <c r="P73" s="38">
        <f t="shared" si="128"/>
        <v>24.168808182299848</v>
      </c>
      <c r="Q73" s="32">
        <v>26.723086520459688</v>
      </c>
      <c r="R73" s="38">
        <f t="shared" si="129"/>
        <v>-2.5542783381598397</v>
      </c>
      <c r="S73" s="14">
        <f t="shared" si="115"/>
        <v>-9.5583208032658851E-2</v>
      </c>
      <c r="U73" s="40">
        <v>75.26055199999999</v>
      </c>
      <c r="V73" s="38">
        <f t="shared" si="130"/>
        <v>-51.091743817700142</v>
      </c>
      <c r="W73" s="14">
        <f t="shared" si="117"/>
        <v>-0.67886485628885829</v>
      </c>
    </row>
    <row r="74" spans="2:23" x14ac:dyDescent="0.3">
      <c r="B74" s="2"/>
      <c r="C74" s="2"/>
      <c r="D74" s="2" t="s">
        <v>39</v>
      </c>
      <c r="E74" s="2"/>
      <c r="F74" s="2"/>
      <c r="G74" s="32">
        <v>639.710599</v>
      </c>
      <c r="H74" s="40">
        <v>701.52980100000002</v>
      </c>
      <c r="I74" s="40">
        <v>693.87286099999994</v>
      </c>
      <c r="J74" s="40">
        <v>573.69420400000001</v>
      </c>
      <c r="K74" s="40">
        <v>758.85851600000001</v>
      </c>
      <c r="L74" s="40">
        <v>585.49928199999999</v>
      </c>
      <c r="M74" s="40">
        <v>681.98299499999996</v>
      </c>
      <c r="N74" s="40">
        <v>577.56369600000005</v>
      </c>
      <c r="O74" s="40">
        <v>610.60598200000004</v>
      </c>
      <c r="P74" s="38">
        <f t="shared" si="128"/>
        <v>5823.3179360000004</v>
      </c>
      <c r="Q74" s="32">
        <v>5997.4747019554852</v>
      </c>
      <c r="R74" s="38">
        <f t="shared" si="129"/>
        <v>-174.15676595548484</v>
      </c>
      <c r="S74" s="14">
        <f t="shared" si="115"/>
        <v>-2.9038349407076412E-2</v>
      </c>
      <c r="U74" s="40">
        <v>6284.4373390000001</v>
      </c>
      <c r="V74" s="38">
        <f t="shared" si="130"/>
        <v>-461.11940299999969</v>
      </c>
      <c r="W74" s="14">
        <f t="shared" si="117"/>
        <v>-7.3374811160639958E-2</v>
      </c>
    </row>
    <row r="75" spans="2:23" x14ac:dyDescent="0.3">
      <c r="B75" s="2"/>
      <c r="C75" s="2"/>
      <c r="D75" s="2" t="s">
        <v>65</v>
      </c>
      <c r="E75" s="2"/>
      <c r="F75" s="2"/>
      <c r="G75" s="32">
        <v>305.29061799999999</v>
      </c>
      <c r="H75" s="40">
        <v>298.56304299999999</v>
      </c>
      <c r="I75" s="40">
        <v>281.779043</v>
      </c>
      <c r="J75" s="40">
        <v>285.679957</v>
      </c>
      <c r="K75" s="40">
        <v>305.31180799999998</v>
      </c>
      <c r="L75" s="40">
        <v>279.488407</v>
      </c>
      <c r="M75" s="40">
        <v>229.22126800000001</v>
      </c>
      <c r="N75" s="40">
        <v>265.47626600000001</v>
      </c>
      <c r="O75" s="40">
        <v>273.70879200000002</v>
      </c>
      <c r="P75" s="38">
        <f t="shared" si="128"/>
        <v>2524.519202</v>
      </c>
      <c r="Q75" s="32">
        <v>2610.01986355187</v>
      </c>
      <c r="R75" s="38">
        <f t="shared" si="129"/>
        <v>-85.500661551870053</v>
      </c>
      <c r="S75" s="14">
        <f t="shared" si="115"/>
        <v>-3.2758624846446829E-2</v>
      </c>
      <c r="U75" s="40">
        <v>2435.3142393900002</v>
      </c>
      <c r="V75" s="38">
        <f t="shared" si="130"/>
        <v>89.204962609999711</v>
      </c>
      <c r="W75" s="14">
        <f t="shared" si="117"/>
        <v>3.6629754455155594E-2</v>
      </c>
    </row>
    <row r="76" spans="2:23" x14ac:dyDescent="0.3">
      <c r="B76" s="2"/>
      <c r="C76" s="2"/>
      <c r="D76" s="2" t="s">
        <v>52</v>
      </c>
      <c r="E76" s="2"/>
      <c r="F76" s="2"/>
      <c r="G76" s="32">
        <v>3838.2411550000002</v>
      </c>
      <c r="H76" s="40">
        <v>3737.5299439999999</v>
      </c>
      <c r="I76" s="40">
        <v>3506.084617</v>
      </c>
      <c r="J76" s="40">
        <v>3854.3131969999999</v>
      </c>
      <c r="K76" s="40">
        <v>3606.3115979999998</v>
      </c>
      <c r="L76" s="40">
        <v>3617.2539959999999</v>
      </c>
      <c r="M76" s="40">
        <v>3729.175538</v>
      </c>
      <c r="N76" s="40">
        <v>3909.9809570000002</v>
      </c>
      <c r="O76" s="40">
        <v>4325.5850849999997</v>
      </c>
      <c r="P76" s="38">
        <f t="shared" si="128"/>
        <v>34124.476086999995</v>
      </c>
      <c r="Q76" s="32">
        <v>34687.055718192278</v>
      </c>
      <c r="R76" s="38">
        <f t="shared" si="129"/>
        <v>-562.57963119228225</v>
      </c>
      <c r="S76" s="14">
        <f t="shared" si="115"/>
        <v>-1.6218719621603019E-2</v>
      </c>
      <c r="T76" s="2"/>
      <c r="U76" s="40">
        <v>28468.233650729999</v>
      </c>
      <c r="V76" s="38">
        <f t="shared" si="130"/>
        <v>5656.2424362699967</v>
      </c>
      <c r="W76" s="14">
        <f t="shared" si="117"/>
        <v>0.19868610415613039</v>
      </c>
    </row>
    <row r="77" spans="2:23" x14ac:dyDescent="0.3">
      <c r="B77" s="2"/>
      <c r="C77" s="2"/>
      <c r="D77" s="2" t="s">
        <v>53</v>
      </c>
      <c r="E77" s="2"/>
      <c r="F77" s="2"/>
      <c r="G77" s="32">
        <v>255.363</v>
      </c>
      <c r="H77" s="40">
        <v>238.23888199999999</v>
      </c>
      <c r="I77" s="40">
        <v>248.647007</v>
      </c>
      <c r="J77" s="40">
        <v>245.87086300000001</v>
      </c>
      <c r="K77" s="40">
        <v>243.80446499999999</v>
      </c>
      <c r="L77" s="40">
        <v>237.670174</v>
      </c>
      <c r="M77" s="40">
        <v>230.619912</v>
      </c>
      <c r="N77" s="40">
        <v>239.125666</v>
      </c>
      <c r="O77" s="40">
        <v>234.370723</v>
      </c>
      <c r="P77" s="38">
        <f t="shared" si="128"/>
        <v>2173.7106920000001</v>
      </c>
      <c r="Q77" s="32">
        <v>2230.8192692086172</v>
      </c>
      <c r="R77" s="38">
        <f t="shared" si="129"/>
        <v>-57.108577208617135</v>
      </c>
      <c r="S77" s="14">
        <f t="shared" si="115"/>
        <v>-2.5599822449479018E-2</v>
      </c>
      <c r="U77" s="40">
        <v>2411.9494359999999</v>
      </c>
      <c r="V77" s="38">
        <f t="shared" si="130"/>
        <v>-238.23874399999977</v>
      </c>
      <c r="W77" s="14">
        <f t="shared" si="117"/>
        <v>-9.8774352581411151E-2</v>
      </c>
    </row>
    <row r="78" spans="2:23" x14ac:dyDescent="0.3">
      <c r="B78" s="2"/>
      <c r="C78" s="2"/>
      <c r="D78" s="2" t="s">
        <v>40</v>
      </c>
      <c r="E78" s="2"/>
      <c r="F78" s="2"/>
      <c r="G78" s="32">
        <v>277.84099400000002</v>
      </c>
      <c r="H78" s="40">
        <v>228.73659000000001</v>
      </c>
      <c r="I78" s="40">
        <v>268.86240400000003</v>
      </c>
      <c r="J78" s="40">
        <v>177.87225900000001</v>
      </c>
      <c r="K78" s="40">
        <v>243.76070899999999</v>
      </c>
      <c r="L78" s="40">
        <v>243.23786100000001</v>
      </c>
      <c r="M78" s="40">
        <v>179.755708</v>
      </c>
      <c r="N78" s="40">
        <v>195.05741800000001</v>
      </c>
      <c r="O78" s="40">
        <v>236.50865099999999</v>
      </c>
      <c r="P78" s="38">
        <f t="shared" si="128"/>
        <v>2051.6325940000002</v>
      </c>
      <c r="Q78" s="32">
        <v>2209.792021729244</v>
      </c>
      <c r="R78" s="38">
        <f t="shared" si="129"/>
        <v>-158.15942772924382</v>
      </c>
      <c r="S78" s="14">
        <f t="shared" si="115"/>
        <v>-7.1572087406433033E-2</v>
      </c>
      <c r="U78" s="40">
        <v>2030.2490960000005</v>
      </c>
      <c r="V78" s="38">
        <f t="shared" si="130"/>
        <v>21.38349799999969</v>
      </c>
      <c r="W78" s="14">
        <f t="shared" si="117"/>
        <v>1.0532450447646788E-2</v>
      </c>
    </row>
    <row r="79" spans="2:23" x14ac:dyDescent="0.3">
      <c r="B79" s="2"/>
      <c r="C79" s="2"/>
      <c r="D79" s="2" t="s">
        <v>41</v>
      </c>
      <c r="E79" s="2"/>
      <c r="F79" s="2"/>
      <c r="G79" s="32">
        <v>12664.842377000001</v>
      </c>
      <c r="H79" s="40">
        <v>12126.144464000001</v>
      </c>
      <c r="I79" s="40">
        <v>11694.566709000001</v>
      </c>
      <c r="J79" s="40">
        <v>13326.154990999999</v>
      </c>
      <c r="K79" s="40">
        <v>13843.327525999999</v>
      </c>
      <c r="L79" s="40">
        <v>13643.356414</v>
      </c>
      <c r="M79" s="40">
        <v>11678.387121</v>
      </c>
      <c r="N79" s="40">
        <v>12308.031333000001</v>
      </c>
      <c r="O79" s="40">
        <v>12745.823982</v>
      </c>
      <c r="P79" s="38">
        <f t="shared" si="128"/>
        <v>114030.634917</v>
      </c>
      <c r="Q79" s="32">
        <v>118568.607595896</v>
      </c>
      <c r="R79" s="38">
        <f t="shared" si="129"/>
        <v>-4537.9726788959961</v>
      </c>
      <c r="S79" s="14">
        <f t="shared" si="115"/>
        <v>-3.8272969303664729E-2</v>
      </c>
      <c r="U79" s="40">
        <v>100860.79857090001</v>
      </c>
      <c r="V79" s="38">
        <f t="shared" si="130"/>
        <v>13169.836346099997</v>
      </c>
      <c r="W79" s="14">
        <f t="shared" si="117"/>
        <v>0.1305743810549177</v>
      </c>
    </row>
    <row r="80" spans="2:23" x14ac:dyDescent="0.3">
      <c r="B80" s="2"/>
      <c r="C80" s="2"/>
      <c r="D80" s="2" t="s">
        <v>42</v>
      </c>
      <c r="E80" s="2"/>
      <c r="F80" s="2"/>
      <c r="G80" s="32">
        <v>597.60792900000001</v>
      </c>
      <c r="H80" s="40">
        <v>668.33565099999998</v>
      </c>
      <c r="I80" s="40">
        <v>626.21122100000002</v>
      </c>
      <c r="J80" s="40">
        <v>338.99123900000001</v>
      </c>
      <c r="K80" s="40">
        <v>565.59818900000005</v>
      </c>
      <c r="L80" s="40">
        <v>548.59602600000005</v>
      </c>
      <c r="M80" s="40">
        <v>635.271659</v>
      </c>
      <c r="N80" s="40">
        <v>630.82855199999995</v>
      </c>
      <c r="O80" s="40">
        <v>507.5</v>
      </c>
      <c r="P80" s="38">
        <f t="shared" si="128"/>
        <v>5118.940466</v>
      </c>
      <c r="Q80" s="32">
        <v>5467.5729930088528</v>
      </c>
      <c r="R80" s="38">
        <f t="shared" si="129"/>
        <v>-348.63252700885278</v>
      </c>
      <c r="S80" s="14">
        <f t="shared" si="115"/>
        <v>-6.3763671276932929E-2</v>
      </c>
      <c r="U80" s="40">
        <v>5605.9353484499989</v>
      </c>
      <c r="V80" s="38">
        <f t="shared" si="130"/>
        <v>-486.99488244999884</v>
      </c>
      <c r="W80" s="14">
        <f t="shared" si="117"/>
        <v>-8.6871298397090763E-2</v>
      </c>
    </row>
    <row r="81" spans="2:23" x14ac:dyDescent="0.3">
      <c r="B81" s="2"/>
      <c r="C81" s="2"/>
      <c r="D81" s="2"/>
      <c r="E81" s="2"/>
      <c r="F81" s="2"/>
      <c r="G81" s="28"/>
      <c r="H81" s="44"/>
      <c r="I81" s="44"/>
      <c r="J81" s="44"/>
      <c r="K81" s="44"/>
      <c r="L81" s="44"/>
      <c r="M81" s="44"/>
      <c r="N81" s="44"/>
      <c r="O81" s="44"/>
      <c r="P81" s="44"/>
      <c r="Q81" s="28"/>
      <c r="R81" s="44"/>
      <c r="S81" s="14"/>
      <c r="U81" s="44"/>
      <c r="V81" s="44"/>
      <c r="W81" s="14"/>
    </row>
    <row r="82" spans="2:23" x14ac:dyDescent="0.3">
      <c r="B82" s="2"/>
      <c r="C82" s="2" t="s">
        <v>24</v>
      </c>
      <c r="D82" s="2"/>
      <c r="E82" s="2"/>
      <c r="F82" s="2"/>
      <c r="G82" s="24">
        <f t="shared" ref="G82:R82" si="131">SUM(G83:G88)</f>
        <v>20677.120100119999</v>
      </c>
      <c r="H82" s="38">
        <f t="shared" si="131"/>
        <v>27099.078228949998</v>
      </c>
      <c r="I82" s="38">
        <f t="shared" si="131"/>
        <v>23006.186241760002</v>
      </c>
      <c r="J82" s="38">
        <f t="shared" ref="J82" si="132">SUM(J83:J88)</f>
        <v>27211.751132509999</v>
      </c>
      <c r="K82" s="38">
        <f t="shared" ref="K82:M82" si="133">SUM(K83:K88)</f>
        <v>25542.197080950002</v>
      </c>
      <c r="L82" s="38">
        <f t="shared" si="133"/>
        <v>24727.70559039</v>
      </c>
      <c r="M82" s="38">
        <f t="shared" si="133"/>
        <v>25379.596652030003</v>
      </c>
      <c r="N82" s="38">
        <f t="shared" ref="N82:O82" si="134">SUM(N83:N88)</f>
        <v>25381.576164149999</v>
      </c>
      <c r="O82" s="38">
        <f t="shared" si="134"/>
        <v>21294.655043630002</v>
      </c>
      <c r="P82" s="38">
        <f t="shared" si="131"/>
        <v>220319.86623449001</v>
      </c>
      <c r="Q82" s="38">
        <f t="shared" si="131"/>
        <v>224455.40491248987</v>
      </c>
      <c r="R82" s="38">
        <f t="shared" si="131"/>
        <v>-4135.5386779998789</v>
      </c>
      <c r="S82" s="14">
        <f t="shared" si="115"/>
        <v>-1.8424767626389896E-2</v>
      </c>
      <c r="U82" s="38">
        <f>SUM(U83:U88)</f>
        <v>213053.89911008999</v>
      </c>
      <c r="V82" s="38">
        <f>SUM(V83:V88)</f>
        <v>7265.9671243999874</v>
      </c>
      <c r="W82" s="14">
        <f t="shared" si="117"/>
        <v>3.4103891807422355E-2</v>
      </c>
    </row>
    <row r="83" spans="2:23" x14ac:dyDescent="0.3">
      <c r="B83" s="2"/>
      <c r="C83" s="2"/>
      <c r="D83" s="2" t="s">
        <v>43</v>
      </c>
      <c r="E83" s="2"/>
      <c r="F83" s="2"/>
      <c r="G83" s="32">
        <v>4411.9256426000002</v>
      </c>
      <c r="H83" s="40">
        <v>5230.689918</v>
      </c>
      <c r="I83" s="40">
        <v>5016.7582053100014</v>
      </c>
      <c r="J83" s="40">
        <v>5384.8950753099998</v>
      </c>
      <c r="K83" s="40">
        <v>5280.99</v>
      </c>
      <c r="L83" s="40">
        <v>5436.1705384699999</v>
      </c>
      <c r="M83" s="40">
        <v>5465.6276537900003</v>
      </c>
      <c r="N83" s="40">
        <v>5733.2331069600004</v>
      </c>
      <c r="O83" s="40">
        <v>5128.5265942699998</v>
      </c>
      <c r="P83" s="38">
        <f t="shared" ref="P83:P88" si="135">+G83+H83+I83+J83+K83+L83+M83+N83+O83</f>
        <v>47088.816734710002</v>
      </c>
      <c r="Q83" s="32">
        <v>46699.126751881806</v>
      </c>
      <c r="R83" s="38">
        <f t="shared" ref="R83:R88" si="136">P83-Q83</f>
        <v>389.68998282819666</v>
      </c>
      <c r="S83" s="14">
        <f t="shared" si="115"/>
        <v>8.3446952851745464E-3</v>
      </c>
      <c r="U83" s="40">
        <v>46316.850224599999</v>
      </c>
      <c r="V83" s="38">
        <f t="shared" ref="V83:V88" si="137">P83-U83</f>
        <v>771.96651011000358</v>
      </c>
      <c r="W83" s="14">
        <f t="shared" si="117"/>
        <v>1.6667077022003398E-2</v>
      </c>
    </row>
    <row r="84" spans="2:23" x14ac:dyDescent="0.3">
      <c r="B84" s="2"/>
      <c r="C84" s="2"/>
      <c r="D84" s="2" t="s">
        <v>44</v>
      </c>
      <c r="E84" s="2"/>
      <c r="F84" s="2"/>
      <c r="G84" s="32">
        <v>276.24965892</v>
      </c>
      <c r="H84" s="40">
        <v>396.26053904999998</v>
      </c>
      <c r="I84" s="40">
        <v>355.09423543000003</v>
      </c>
      <c r="J84" s="40">
        <v>281.36063474000002</v>
      </c>
      <c r="K84" s="40">
        <v>293.56</v>
      </c>
      <c r="L84" s="40">
        <v>301.50556030000001</v>
      </c>
      <c r="M84" s="40">
        <v>401.73</v>
      </c>
      <c r="N84" s="40">
        <v>368.44164768000002</v>
      </c>
      <c r="O84" s="40">
        <v>343.71850990000002</v>
      </c>
      <c r="P84" s="38">
        <f t="shared" si="135"/>
        <v>3017.9207860199999</v>
      </c>
      <c r="Q84" s="32">
        <v>3164.1795741662045</v>
      </c>
      <c r="R84" s="38">
        <f t="shared" si="136"/>
        <v>-146.25878814620455</v>
      </c>
      <c r="S84" s="14">
        <f t="shared" si="115"/>
        <v>-4.6223289392399711E-2</v>
      </c>
      <c r="U84" s="40">
        <v>3237.4471706799995</v>
      </c>
      <c r="V84" s="38">
        <f t="shared" si="137"/>
        <v>-219.52638465999962</v>
      </c>
      <c r="W84" s="14">
        <f t="shared" si="117"/>
        <v>-6.7808483995706367E-2</v>
      </c>
    </row>
    <row r="85" spans="2:23" x14ac:dyDescent="0.3">
      <c r="B85" s="2"/>
      <c r="C85" s="2"/>
      <c r="D85" s="2" t="s">
        <v>45</v>
      </c>
      <c r="E85" s="2"/>
      <c r="F85" s="2"/>
      <c r="G85" s="32">
        <v>1441.79</v>
      </c>
      <c r="H85" s="40">
        <v>3907.72</v>
      </c>
      <c r="I85" s="40">
        <v>2347.6060888000002</v>
      </c>
      <c r="J85" s="40">
        <v>2528.8401501099997</v>
      </c>
      <c r="K85" s="40">
        <v>3027.12</v>
      </c>
      <c r="L85" s="40">
        <v>2796.51</v>
      </c>
      <c r="M85" s="40">
        <v>1988.5778929999999</v>
      </c>
      <c r="N85" s="40">
        <v>1719.0460648200001</v>
      </c>
      <c r="O85" s="40">
        <v>1951.4746718700001</v>
      </c>
      <c r="P85" s="38">
        <f t="shared" si="135"/>
        <v>21708.684868599998</v>
      </c>
      <c r="Q85" s="32">
        <v>22070.785170067909</v>
      </c>
      <c r="R85" s="38">
        <f t="shared" si="136"/>
        <v>-362.10030146791178</v>
      </c>
      <c r="S85" s="14">
        <f t="shared" si="115"/>
        <v>-1.6406317159889133E-2</v>
      </c>
      <c r="U85" s="40">
        <v>18420.77629052</v>
      </c>
      <c r="V85" s="38">
        <f t="shared" si="137"/>
        <v>3287.9085780799978</v>
      </c>
      <c r="W85" s="14">
        <f t="shared" si="117"/>
        <v>0.17848914324919493</v>
      </c>
    </row>
    <row r="86" spans="2:23" x14ac:dyDescent="0.3">
      <c r="B86" s="2"/>
      <c r="C86" s="2"/>
      <c r="D86" s="2" t="s">
        <v>46</v>
      </c>
      <c r="E86" s="2"/>
      <c r="F86" s="2"/>
      <c r="G86" s="32">
        <v>8827.1443003099994</v>
      </c>
      <c r="H86" s="40">
        <v>10625.787915929999</v>
      </c>
      <c r="I86" s="40">
        <v>10197.295539000001</v>
      </c>
      <c r="J86" s="40">
        <v>10210.941540119999</v>
      </c>
      <c r="K86" s="40">
        <v>10648.100834770001</v>
      </c>
      <c r="L86" s="40">
        <v>10262.877345000001</v>
      </c>
      <c r="M86" s="40">
        <v>10609.13012532</v>
      </c>
      <c r="N86" s="40">
        <v>11092.124751609999</v>
      </c>
      <c r="O86" s="40">
        <v>9564.6560465000002</v>
      </c>
      <c r="P86" s="38">
        <f t="shared" si="135"/>
        <v>92038.05839856001</v>
      </c>
      <c r="Q86" s="32">
        <v>93698.52093388261</v>
      </c>
      <c r="R86" s="38">
        <f t="shared" si="136"/>
        <v>-1660.4625353226002</v>
      </c>
      <c r="S86" s="14">
        <f t="shared" si="115"/>
        <v>-1.7721331337709038E-2</v>
      </c>
      <c r="U86" s="40">
        <v>88557.955452590017</v>
      </c>
      <c r="V86" s="38">
        <f t="shared" si="137"/>
        <v>3480.102945969993</v>
      </c>
      <c r="W86" s="14">
        <f t="shared" si="117"/>
        <v>3.9297462641095925E-2</v>
      </c>
    </row>
    <row r="87" spans="2:23" x14ac:dyDescent="0.3">
      <c r="B87" s="2"/>
      <c r="C87" s="2"/>
      <c r="D87" s="2" t="s">
        <v>47</v>
      </c>
      <c r="E87" s="2"/>
      <c r="F87" s="2"/>
      <c r="G87" s="32">
        <v>5291.5410556400002</v>
      </c>
      <c r="H87" s="40">
        <v>6464.3753260599997</v>
      </c>
      <c r="I87" s="40">
        <v>4638.29757169</v>
      </c>
      <c r="J87" s="40">
        <v>8317.4569493199997</v>
      </c>
      <c r="K87" s="40">
        <v>5821.8812645099997</v>
      </c>
      <c r="L87" s="40">
        <v>5458.9431847699998</v>
      </c>
      <c r="M87" s="40">
        <v>6469.9530072799998</v>
      </c>
      <c r="N87" s="40">
        <v>5981.3024246599998</v>
      </c>
      <c r="O87" s="40">
        <v>3943.6434158799998</v>
      </c>
      <c r="P87" s="38">
        <f t="shared" si="135"/>
        <v>52387.394199809991</v>
      </c>
      <c r="Q87" s="32">
        <v>54565.186340890767</v>
      </c>
      <c r="R87" s="38">
        <f t="shared" si="136"/>
        <v>-2177.7921410807758</v>
      </c>
      <c r="S87" s="14">
        <f t="shared" si="115"/>
        <v>-3.9911751193796502E-2</v>
      </c>
      <c r="U87" s="40">
        <v>52178.633332559999</v>
      </c>
      <c r="V87" s="38">
        <f t="shared" si="137"/>
        <v>208.76086724999186</v>
      </c>
      <c r="W87" s="14">
        <f t="shared" si="117"/>
        <v>4.0008879864571493E-3</v>
      </c>
    </row>
    <row r="88" spans="2:23" x14ac:dyDescent="0.3">
      <c r="B88" s="2"/>
      <c r="C88" s="2"/>
      <c r="D88" s="2" t="s">
        <v>22</v>
      </c>
      <c r="E88" s="2"/>
      <c r="F88" s="2"/>
      <c r="G88" s="32">
        <v>428.46944265000002</v>
      </c>
      <c r="H88" s="40">
        <v>474.24452990999998</v>
      </c>
      <c r="I88" s="40">
        <v>451.13460153</v>
      </c>
      <c r="J88" s="40">
        <v>488.25678290999991</v>
      </c>
      <c r="K88" s="40">
        <v>470.54498167000003</v>
      </c>
      <c r="L88" s="40">
        <v>471.69896184999999</v>
      </c>
      <c r="M88" s="40">
        <v>444.57797263999998</v>
      </c>
      <c r="N88" s="40">
        <v>487.42816842000002</v>
      </c>
      <c r="O88" s="40">
        <v>362.63580521</v>
      </c>
      <c r="P88" s="38">
        <f t="shared" si="135"/>
        <v>4078.9912467900003</v>
      </c>
      <c r="Q88" s="32">
        <v>4257.6061416005832</v>
      </c>
      <c r="R88" s="38">
        <f t="shared" si="136"/>
        <v>-178.61489481058288</v>
      </c>
      <c r="S88" s="14">
        <f t="shared" si="115"/>
        <v>-4.1951953485165561E-2</v>
      </c>
      <c r="U88" s="40">
        <v>4342.2366391400001</v>
      </c>
      <c r="V88" s="38">
        <f t="shared" si="137"/>
        <v>-263.24539234999975</v>
      </c>
      <c r="W88" s="14">
        <f t="shared" si="117"/>
        <v>-6.0624377302969074E-2</v>
      </c>
    </row>
    <row r="89" spans="2:23" x14ac:dyDescent="0.3">
      <c r="B89" s="2"/>
      <c r="C89" s="2"/>
      <c r="D89" s="2"/>
      <c r="E89" s="2"/>
      <c r="F89" s="2"/>
      <c r="G89" s="25"/>
      <c r="H89" s="39"/>
      <c r="I89" s="39"/>
      <c r="J89" s="39"/>
      <c r="K89" s="39"/>
      <c r="L89" s="39"/>
      <c r="M89" s="39"/>
      <c r="N89" s="39"/>
      <c r="O89" s="39"/>
      <c r="P89" s="40"/>
      <c r="Q89" s="25"/>
      <c r="R89" s="39"/>
      <c r="S89" s="14"/>
      <c r="U89" s="40"/>
      <c r="V89" s="39"/>
      <c r="W89" s="14"/>
    </row>
    <row r="90" spans="2:23" s="5" customFormat="1" x14ac:dyDescent="0.3">
      <c r="B90" s="5" t="s">
        <v>10</v>
      </c>
      <c r="C90" s="6"/>
      <c r="D90" s="6"/>
      <c r="E90" s="6"/>
      <c r="F90" s="6"/>
      <c r="G90" s="26">
        <v>2426.0072344700002</v>
      </c>
      <c r="H90" s="37">
        <v>5800.9510120599998</v>
      </c>
      <c r="I90" s="37">
        <v>7596.1362710900003</v>
      </c>
      <c r="J90" s="37">
        <v>6170.1995338599982</v>
      </c>
      <c r="K90" s="37">
        <v>4097.9908135899996</v>
      </c>
      <c r="L90" s="37">
        <v>6398.2002387053999</v>
      </c>
      <c r="M90" s="37">
        <v>6984.7139199100002</v>
      </c>
      <c r="N90" s="37">
        <v>5010.2063831102796</v>
      </c>
      <c r="O90" s="37">
        <v>7152.2575115044638</v>
      </c>
      <c r="P90" s="37">
        <f>+G90+H90+I90+J90+K90+L90+M90+N90+O90</f>
        <v>51636.662918300135</v>
      </c>
      <c r="Q90" s="26">
        <v>50612.258335169347</v>
      </c>
      <c r="R90" s="37">
        <f t="shared" ref="R90:R92" si="138">P90-Q90</f>
        <v>1024.4045831307885</v>
      </c>
      <c r="S90" s="13">
        <f>R90/ABS(Q90)</f>
        <v>2.0240246470467259E-2</v>
      </c>
      <c r="U90" s="41">
        <v>42318.936183345773</v>
      </c>
      <c r="V90" s="37">
        <f>P90-U90</f>
        <v>9317.7267349543617</v>
      </c>
      <c r="W90" s="13">
        <f>V90/ABS(U90)</f>
        <v>0.22017866173633321</v>
      </c>
    </row>
    <row r="91" spans="2:23" s="5" customFormat="1" x14ac:dyDescent="0.3">
      <c r="B91" s="6"/>
      <c r="C91" s="6"/>
      <c r="D91" s="6"/>
      <c r="E91" s="6"/>
      <c r="F91" s="6"/>
      <c r="G91" s="26"/>
      <c r="H91" s="37"/>
      <c r="I91" s="37"/>
      <c r="J91" s="37"/>
      <c r="K91" s="37"/>
      <c r="L91" s="37"/>
      <c r="M91" s="37"/>
      <c r="N91" s="37"/>
      <c r="O91" s="37"/>
      <c r="P91" s="37"/>
      <c r="Q91" s="26"/>
      <c r="R91" s="37"/>
      <c r="S91" s="13"/>
      <c r="U91" s="41"/>
      <c r="V91" s="37"/>
      <c r="W91" s="13"/>
    </row>
    <row r="92" spans="2:23" s="5" customFormat="1" x14ac:dyDescent="0.3">
      <c r="B92" s="5" t="s">
        <v>11</v>
      </c>
      <c r="C92" s="6"/>
      <c r="D92" s="6"/>
      <c r="E92" s="6"/>
      <c r="F92" s="6"/>
      <c r="G92" s="29">
        <v>0</v>
      </c>
      <c r="H92" s="41">
        <v>224.20730949</v>
      </c>
      <c r="I92" s="41">
        <v>0</v>
      </c>
      <c r="J92" s="41">
        <v>203.84190423000001</v>
      </c>
      <c r="K92" s="41">
        <v>102.25283014999999</v>
      </c>
      <c r="L92" s="41">
        <v>102.08767881999999</v>
      </c>
      <c r="M92" s="41">
        <v>102.6175284</v>
      </c>
      <c r="N92" s="41">
        <v>102.67890221</v>
      </c>
      <c r="O92" s="41">
        <v>102.50278892</v>
      </c>
      <c r="P92" s="37">
        <f>+G92+H92+I92+J92+K92+L92+M92+N92+O92</f>
        <v>940.18894221999994</v>
      </c>
      <c r="Q92" s="29">
        <v>971.49046126482756</v>
      </c>
      <c r="R92" s="37">
        <f t="shared" si="138"/>
        <v>-31.301519044827614</v>
      </c>
      <c r="S92" s="13">
        <f>R92/ABS(Q92)</f>
        <v>-3.2220099211344541E-2</v>
      </c>
      <c r="U92" s="41">
        <v>926.02747656000008</v>
      </c>
      <c r="V92" s="37">
        <f>P92-U92</f>
        <v>14.161465659999863</v>
      </c>
      <c r="W92" s="13">
        <f>V92/ABS(U92)</f>
        <v>1.5292705690123547E-2</v>
      </c>
    </row>
    <row r="93" spans="2:23" s="5" customFormat="1" x14ac:dyDescent="0.3">
      <c r="B93" s="6"/>
      <c r="C93" s="6"/>
      <c r="D93" s="6"/>
      <c r="E93" s="6"/>
      <c r="F93" s="6"/>
      <c r="G93" s="26"/>
      <c r="H93" s="37"/>
      <c r="I93" s="37"/>
      <c r="J93" s="37"/>
      <c r="K93" s="37"/>
      <c r="L93" s="37"/>
      <c r="M93" s="37"/>
      <c r="N93" s="37"/>
      <c r="O93" s="37"/>
      <c r="P93" s="37"/>
      <c r="Q93" s="26"/>
      <c r="R93" s="37"/>
      <c r="S93" s="13"/>
      <c r="U93" s="41"/>
      <c r="V93" s="37"/>
      <c r="W93" s="13"/>
    </row>
    <row r="94" spans="2:23" s="5" customFormat="1" x14ac:dyDescent="0.3">
      <c r="B94" s="5" t="s">
        <v>12</v>
      </c>
      <c r="C94" s="6"/>
      <c r="D94" s="6"/>
      <c r="E94" s="6"/>
      <c r="F94" s="6"/>
      <c r="G94" s="26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f>+G94+H94+I94+J94+K94+L94+M94+N94+O94</f>
        <v>0</v>
      </c>
      <c r="Q94" s="26">
        <v>0</v>
      </c>
      <c r="R94" s="37">
        <f t="shared" ref="R94" si="139">P94-Q94</f>
        <v>0</v>
      </c>
      <c r="S94" s="13">
        <v>0</v>
      </c>
      <c r="U94" s="41">
        <v>0</v>
      </c>
      <c r="V94" s="37">
        <f>P94-U94</f>
        <v>0</v>
      </c>
      <c r="W94" s="13">
        <v>0</v>
      </c>
    </row>
    <row r="95" spans="2:23" s="5" customFormat="1" x14ac:dyDescent="0.3">
      <c r="B95" s="6"/>
      <c r="C95" s="6"/>
      <c r="D95" s="6"/>
      <c r="E95" s="6"/>
      <c r="F95" s="6"/>
      <c r="G95" s="26"/>
      <c r="H95" s="37"/>
      <c r="I95" s="37"/>
      <c r="J95" s="37"/>
      <c r="K95" s="37"/>
      <c r="L95" s="37"/>
      <c r="M95" s="37"/>
      <c r="N95" s="37"/>
      <c r="O95" s="37"/>
      <c r="P95" s="37"/>
      <c r="Q95" s="26"/>
      <c r="R95" s="37"/>
      <c r="S95" s="13"/>
      <c r="U95" s="41"/>
      <c r="V95" s="37"/>
      <c r="W95" s="13"/>
    </row>
    <row r="96" spans="2:23" s="5" customFormat="1" ht="16.2" thickBot="1" x14ac:dyDescent="0.35">
      <c r="B96" s="53" t="s">
        <v>13</v>
      </c>
      <c r="C96" s="54"/>
      <c r="D96" s="54"/>
      <c r="E96" s="54"/>
      <c r="F96" s="54"/>
      <c r="G96" s="55">
        <v>138.47427162620002</v>
      </c>
      <c r="H96" s="56">
        <v>637.14135426509995</v>
      </c>
      <c r="I96" s="56">
        <v>663.84783128970003</v>
      </c>
      <c r="J96" s="56">
        <v>353.67076739739997</v>
      </c>
      <c r="K96" s="56">
        <v>2009.0050052295999</v>
      </c>
      <c r="L96" s="56">
        <v>78.348145732999996</v>
      </c>
      <c r="M96" s="56">
        <v>530.62355303360005</v>
      </c>
      <c r="N96" s="56">
        <v>301.81632301039997</v>
      </c>
      <c r="O96" s="56">
        <v>1297.7232455476001</v>
      </c>
      <c r="P96" s="56">
        <f>+G96+H96+I96+J96+K96+L96+M96+N96+O96</f>
        <v>6010.6504971325994</v>
      </c>
      <c r="Q96" s="55">
        <v>7545.9515429801695</v>
      </c>
      <c r="R96" s="56">
        <f t="shared" ref="R96" si="140">P96-Q96</f>
        <v>-1535.3010458475701</v>
      </c>
      <c r="S96" s="58">
        <f>R96/ABS(Q96)</f>
        <v>-0.20346023123827589</v>
      </c>
      <c r="T96" s="53"/>
      <c r="U96" s="57">
        <v>5027.2504245132004</v>
      </c>
      <c r="V96" s="56">
        <f>P96-U96</f>
        <v>983.400072619399</v>
      </c>
      <c r="W96" s="58">
        <f>V96/ABS(U96)</f>
        <v>0.19561390214903085</v>
      </c>
    </row>
    <row r="97" spans="2:23" s="5" customFormat="1" x14ac:dyDescent="0.3">
      <c r="G97" s="30"/>
      <c r="H97" s="45"/>
      <c r="I97" s="45"/>
      <c r="J97" s="45"/>
      <c r="K97" s="45"/>
      <c r="L97" s="45"/>
      <c r="M97" s="45"/>
      <c r="N97" s="45"/>
      <c r="O97" s="45"/>
      <c r="P97" s="45"/>
      <c r="Q97" s="30"/>
      <c r="R97" s="45"/>
      <c r="S97" s="15"/>
      <c r="U97" s="45"/>
      <c r="V97" s="45"/>
      <c r="W97" s="15"/>
    </row>
    <row r="98" spans="2:23" s="5" customFormat="1" x14ac:dyDescent="0.3">
      <c r="B98" s="5" t="s">
        <v>55</v>
      </c>
      <c r="H98" s="30"/>
      <c r="I98" s="30"/>
      <c r="J98" s="30"/>
      <c r="K98" s="30"/>
      <c r="L98" s="30"/>
      <c r="M98" s="30"/>
      <c r="N98" s="30"/>
      <c r="O98" s="30"/>
      <c r="P98" s="45"/>
      <c r="Q98" s="45"/>
      <c r="R98" s="30"/>
      <c r="S98" s="45"/>
      <c r="T98" s="16"/>
      <c r="U98" s="45"/>
      <c r="V98" s="30"/>
      <c r="W98" s="45"/>
    </row>
    <row r="99" spans="2:23" x14ac:dyDescent="0.3">
      <c r="B99" s="9" t="s">
        <v>77</v>
      </c>
      <c r="G99" s="4"/>
      <c r="H99" s="21"/>
      <c r="I99" s="21"/>
      <c r="J99" s="21"/>
      <c r="K99" s="21"/>
      <c r="L99" s="21"/>
      <c r="M99" s="21"/>
      <c r="N99" s="21"/>
      <c r="O99" s="21"/>
      <c r="Q99" s="34"/>
      <c r="R99" s="21"/>
      <c r="S99" s="34"/>
      <c r="T99" s="17"/>
      <c r="V99" s="21"/>
      <c r="W99" s="34"/>
    </row>
  </sheetData>
  <pageMargins left="0.7" right="0.7" top="0.75" bottom="0.75" header="0.3" footer="0.3"/>
  <pageSetup scale="36" orientation="landscape" r:id="rId1"/>
  <rowBreaks count="1" manualBreakCount="1">
    <brk id="46" max="16" man="1"/>
  </rowBreaks>
  <ignoredErrors>
    <ignoredError sqref="Q59 Q67 R23 R20 Q10 V20:V23 P20 P23" formula="1"/>
    <ignoredError sqref="P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Tenea Cadogan</cp:lastModifiedBy>
  <cp:lastPrinted>2024-01-04T20:25:45Z</cp:lastPrinted>
  <dcterms:created xsi:type="dcterms:W3CDTF">2012-05-30T22:15:58Z</dcterms:created>
  <dcterms:modified xsi:type="dcterms:W3CDTF">2024-01-31T22:02:53Z</dcterms:modified>
</cp:coreProperties>
</file>