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490" windowHeight="10035"/>
  </bookViews>
  <sheets>
    <sheet name="Dataset" sheetId="1" r:id="rId1"/>
  </sheets>
  <calcPr calcId="145621" iterate="1" iterateCount="1" iterateDelta="0"/>
</workbook>
</file>

<file path=xl/calcChain.xml><?xml version="1.0" encoding="utf-8"?>
<calcChain xmlns="http://schemas.openxmlformats.org/spreadsheetml/2006/main">
  <c r="DI10" i="1" l="1"/>
  <c r="DI19" i="1"/>
  <c r="DI22" i="1"/>
  <c r="DI25" i="1"/>
  <c r="DI36" i="1"/>
  <c r="DI17" i="1" l="1"/>
  <c r="DI16" i="1" s="1"/>
  <c r="DI27" i="1" s="1"/>
  <c r="DI44" i="1" l="1"/>
  <c r="DI34" i="1"/>
  <c r="DI43" i="1" s="1"/>
  <c r="DI29" i="1" l="1"/>
  <c r="DI28" i="1" s="1"/>
  <c r="DH10" i="1" l="1"/>
  <c r="DH19" i="1"/>
  <c r="DH17" i="1" s="1"/>
  <c r="DH22" i="1"/>
  <c r="DH25" i="1"/>
  <c r="DH36" i="1"/>
  <c r="DH16" i="1" l="1"/>
  <c r="DH27" i="1"/>
  <c r="DH44" i="1" s="1"/>
  <c r="DG10" i="1"/>
  <c r="DG19" i="1"/>
  <c r="DG22" i="1"/>
  <c r="DG25" i="1"/>
  <c r="DG36" i="1"/>
  <c r="DH34" i="1" l="1"/>
  <c r="DH29" i="1"/>
  <c r="DH28" i="1" s="1"/>
  <c r="DH43" i="1"/>
  <c r="DG17" i="1"/>
  <c r="DG16" i="1" s="1"/>
  <c r="DG27" i="1"/>
  <c r="DG34" i="1" s="1"/>
  <c r="DC25" i="1"/>
  <c r="DD25" i="1"/>
  <c r="DE25" i="1"/>
  <c r="DF25" i="1"/>
  <c r="DC22" i="1"/>
  <c r="DD22" i="1"/>
  <c r="DE22" i="1"/>
  <c r="DF22" i="1"/>
  <c r="DC19" i="1"/>
  <c r="DD19" i="1"/>
  <c r="DE19" i="1"/>
  <c r="DF19" i="1"/>
  <c r="DC17" i="1"/>
  <c r="DD17" i="1"/>
  <c r="DE17" i="1"/>
  <c r="DC16" i="1"/>
  <c r="DD16" i="1"/>
  <c r="DE16" i="1"/>
  <c r="DC10" i="1"/>
  <c r="DD10" i="1"/>
  <c r="DE10" i="1"/>
  <c r="DF10" i="1"/>
  <c r="DF36" i="1"/>
  <c r="DG44" i="1" l="1"/>
  <c r="DG43" i="1"/>
  <c r="DG29" i="1"/>
  <c r="DG28" i="1" s="1"/>
  <c r="DF17" i="1"/>
  <c r="DF16" i="1" s="1"/>
  <c r="DF27" i="1"/>
  <c r="DF34" i="1" s="1"/>
  <c r="DF29" i="1" s="1"/>
  <c r="DF28" i="1" s="1"/>
  <c r="DC35" i="1"/>
  <c r="DF43" i="1" l="1"/>
  <c r="DF44" i="1"/>
  <c r="DE27" i="1"/>
  <c r="DE36" i="1"/>
  <c r="DE44" i="1" l="1"/>
  <c r="DE34" i="1"/>
  <c r="DD27" i="1"/>
  <c r="DD36" i="1"/>
  <c r="DD34" i="1" s="1"/>
  <c r="DD29" i="1" s="1"/>
  <c r="DD28" i="1" s="1"/>
  <c r="DD44" i="1"/>
  <c r="DC36" i="1"/>
  <c r="DC27" i="1"/>
  <c r="DC44" i="1" s="1"/>
  <c r="DB42" i="1"/>
  <c r="DB37" i="1"/>
  <c r="DB35" i="1"/>
  <c r="DB10" i="1"/>
  <c r="DB19" i="1"/>
  <c r="DB22" i="1"/>
  <c r="DB17" i="1"/>
  <c r="DB25" i="1"/>
  <c r="DB16" i="1"/>
  <c r="DB27" i="1"/>
  <c r="DB36" i="1"/>
  <c r="DB34" i="1"/>
  <c r="DB29" i="1"/>
  <c r="DB28" i="1"/>
  <c r="DB43" i="1"/>
  <c r="DB44" i="1"/>
  <c r="DA42" i="1"/>
  <c r="DA37" i="1"/>
  <c r="DA35" i="1"/>
  <c r="DA31" i="1"/>
  <c r="DA10" i="1"/>
  <c r="DA19" i="1"/>
  <c r="DA22" i="1"/>
  <c r="DA25" i="1"/>
  <c r="DA36" i="1"/>
  <c r="DA17" i="1"/>
  <c r="DA16" i="1"/>
  <c r="DA27" i="1"/>
  <c r="DA34" i="1"/>
  <c r="CZ31" i="1"/>
  <c r="CZ42" i="1"/>
  <c r="CZ37" i="1"/>
  <c r="CZ35" i="1"/>
  <c r="DA44" i="1"/>
  <c r="DA43" i="1"/>
  <c r="DA29" i="1"/>
  <c r="DA28" i="1"/>
  <c r="CZ10" i="1"/>
  <c r="CZ19" i="1"/>
  <c r="CZ22" i="1"/>
  <c r="CZ25" i="1"/>
  <c r="CZ36" i="1"/>
  <c r="CZ17" i="1"/>
  <c r="CZ16" i="1"/>
  <c r="CZ27" i="1"/>
  <c r="CY42" i="1"/>
  <c r="CY37" i="1"/>
  <c r="CY35" i="1"/>
  <c r="CV31" i="1"/>
  <c r="CZ34" i="1"/>
  <c r="CZ44" i="1"/>
  <c r="CY36" i="1"/>
  <c r="CY25" i="1"/>
  <c r="CY22" i="1"/>
  <c r="CY19" i="1"/>
  <c r="CY17" i="1"/>
  <c r="CY16" i="1"/>
  <c r="CY10" i="1"/>
  <c r="CZ29" i="1"/>
  <c r="CZ28" i="1"/>
  <c r="CZ43" i="1"/>
  <c r="CY27" i="1"/>
  <c r="CX35" i="1"/>
  <c r="CX42" i="1"/>
  <c r="CY44" i="1"/>
  <c r="CY34" i="1"/>
  <c r="CX37" i="1"/>
  <c r="CX31" i="1"/>
  <c r="CX10" i="1"/>
  <c r="CX19" i="1"/>
  <c r="CX22" i="1"/>
  <c r="CX25" i="1"/>
  <c r="CX36" i="1"/>
  <c r="CY43" i="1"/>
  <c r="CY29" i="1"/>
  <c r="CY28" i="1"/>
  <c r="CX17" i="1"/>
  <c r="CX16" i="1"/>
  <c r="CX27" i="1"/>
  <c r="CX34" i="1"/>
  <c r="CW40" i="1"/>
  <c r="CW39" i="1"/>
  <c r="CW37" i="1"/>
  <c r="CX44" i="1"/>
  <c r="CX43" i="1"/>
  <c r="CX29" i="1"/>
  <c r="CX28" i="1"/>
  <c r="CW35" i="1"/>
  <c r="CW10" i="1"/>
  <c r="CW19" i="1"/>
  <c r="CW22" i="1"/>
  <c r="CW25" i="1"/>
  <c r="CW36" i="1"/>
  <c r="CW17" i="1"/>
  <c r="CW16" i="1"/>
  <c r="CW27" i="1"/>
  <c r="CW44" i="1"/>
  <c r="CV40" i="1"/>
  <c r="CV35" i="1"/>
  <c r="CV32" i="1"/>
  <c r="CW34" i="1"/>
  <c r="CW43" i="1"/>
  <c r="CV10" i="1"/>
  <c r="CV19" i="1"/>
  <c r="CV22" i="1"/>
  <c r="CV25" i="1"/>
  <c r="CV36" i="1"/>
  <c r="CW29" i="1"/>
  <c r="CW28" i="1"/>
  <c r="CV17" i="1"/>
  <c r="CV16" i="1"/>
  <c r="CV27" i="1"/>
  <c r="CV34" i="1"/>
  <c r="CU35" i="1"/>
  <c r="CV44" i="1"/>
  <c r="CV29" i="1"/>
  <c r="CV28" i="1"/>
  <c r="CV43" i="1"/>
  <c r="CU10" i="1"/>
  <c r="CU19" i="1"/>
  <c r="CU22" i="1"/>
  <c r="CU25" i="1"/>
  <c r="CU36" i="1"/>
  <c r="CU17" i="1"/>
  <c r="CU16" i="1"/>
  <c r="CU27" i="1"/>
  <c r="CU34" i="1"/>
  <c r="CU29" i="1"/>
  <c r="CT10" i="1"/>
  <c r="CT19" i="1"/>
  <c r="CT22" i="1"/>
  <c r="CT25" i="1"/>
  <c r="CT36" i="1"/>
  <c r="CU44" i="1"/>
  <c r="CU43" i="1"/>
  <c r="CU28" i="1"/>
  <c r="CT17" i="1"/>
  <c r="CT16" i="1"/>
  <c r="CT27" i="1"/>
  <c r="CS15" i="1"/>
  <c r="CT44" i="1"/>
  <c r="CT34" i="1"/>
  <c r="CS40" i="1"/>
  <c r="CS37" i="1"/>
  <c r="CT29" i="1"/>
  <c r="CT28" i="1"/>
  <c r="CT43" i="1"/>
  <c r="CS36" i="1"/>
  <c r="CR36" i="1"/>
  <c r="CR25" i="1"/>
  <c r="CR22" i="1"/>
  <c r="CR19" i="1"/>
  <c r="CR17" i="1"/>
  <c r="CR16" i="1"/>
  <c r="CR18" i="1"/>
  <c r="CR10" i="1"/>
  <c r="CR27" i="1"/>
  <c r="CR34" i="1"/>
  <c r="CR44" i="1"/>
  <c r="CP10" i="1"/>
  <c r="CQ10" i="1"/>
  <c r="CS10" i="1"/>
  <c r="CS19" i="1"/>
  <c r="CS22" i="1"/>
  <c r="CS25" i="1"/>
  <c r="CR29" i="1"/>
  <c r="CR28" i="1"/>
  <c r="CR43" i="1"/>
  <c r="CS17" i="1"/>
  <c r="CS16" i="1"/>
  <c r="CS27" i="1"/>
  <c r="CQ36" i="1"/>
  <c r="CQ35" i="1"/>
  <c r="CQ25" i="1"/>
  <c r="CQ22" i="1"/>
  <c r="CQ19" i="1"/>
  <c r="CS44" i="1"/>
  <c r="CS34" i="1"/>
  <c r="CS29" i="1"/>
  <c r="CQ17" i="1"/>
  <c r="CQ16" i="1"/>
  <c r="CQ27" i="1"/>
  <c r="CQ34" i="1"/>
  <c r="CM40" i="1"/>
  <c r="CS43" i="1"/>
  <c r="CS28" i="1"/>
  <c r="CQ44" i="1"/>
  <c r="CQ43" i="1"/>
  <c r="CQ29" i="1"/>
  <c r="CQ28" i="1"/>
  <c r="CP32" i="1"/>
  <c r="CP19" i="1"/>
  <c r="CP22" i="1"/>
  <c r="CP25" i="1"/>
  <c r="CP36" i="1"/>
  <c r="CP17" i="1"/>
  <c r="CP16" i="1"/>
  <c r="CP27" i="1"/>
  <c r="CP44" i="1"/>
  <c r="CO32" i="1"/>
  <c r="CO10" i="1"/>
  <c r="CO19" i="1"/>
  <c r="CO22" i="1"/>
  <c r="CO25" i="1"/>
  <c r="CO36" i="1"/>
  <c r="CP34" i="1"/>
  <c r="CP43" i="1"/>
  <c r="CO17" i="1"/>
  <c r="CO16" i="1"/>
  <c r="CO27" i="1"/>
  <c r="CO44" i="1"/>
  <c r="CL36" i="1"/>
  <c r="CM36" i="1"/>
  <c r="CN32" i="1"/>
  <c r="CP29" i="1"/>
  <c r="CP28" i="1"/>
  <c r="CO34" i="1"/>
  <c r="CO43" i="1"/>
  <c r="CM32" i="1"/>
  <c r="CM25" i="1"/>
  <c r="CM22" i="1"/>
  <c r="CM19" i="1"/>
  <c r="CM10" i="1"/>
  <c r="CM17" i="1"/>
  <c r="CM16" i="1"/>
  <c r="CM27" i="1"/>
  <c r="CM34" i="1"/>
  <c r="CM43" i="1"/>
  <c r="CO29" i="1"/>
  <c r="CO28" i="1"/>
  <c r="CM44" i="1"/>
  <c r="CM29" i="1"/>
  <c r="CM28" i="1"/>
  <c r="CN10" i="1"/>
  <c r="CN19" i="1"/>
  <c r="CN22" i="1"/>
  <c r="CN25" i="1"/>
  <c r="CN36" i="1"/>
  <c r="CN17" i="1"/>
  <c r="CN16" i="1"/>
  <c r="CN27" i="1"/>
  <c r="CN44" i="1"/>
  <c r="CL42" i="1"/>
  <c r="CL35" i="1"/>
  <c r="CL10" i="1"/>
  <c r="CL19" i="1"/>
  <c r="CL22" i="1"/>
  <c r="CL25" i="1"/>
  <c r="CN34" i="1"/>
  <c r="CN29" i="1"/>
  <c r="CN28" i="1"/>
  <c r="CL17" i="1"/>
  <c r="CL16" i="1"/>
  <c r="CL27" i="1"/>
  <c r="CL34" i="1"/>
  <c r="CK40" i="1"/>
  <c r="CK36" i="1"/>
  <c r="CK35" i="1"/>
  <c r="CK10" i="1"/>
  <c r="CK19" i="1"/>
  <c r="CK22" i="1"/>
  <c r="CK25" i="1"/>
  <c r="CN43" i="1"/>
  <c r="CL44" i="1"/>
  <c r="CL29" i="1"/>
  <c r="CL28" i="1"/>
  <c r="CL43" i="1"/>
  <c r="CK17" i="1"/>
  <c r="CK16" i="1"/>
  <c r="CK27" i="1"/>
  <c r="CJ32" i="1"/>
  <c r="CJ35" i="1"/>
  <c r="CJ39" i="1"/>
  <c r="CJ40" i="1"/>
  <c r="CJ36" i="1"/>
  <c r="CJ10" i="1"/>
  <c r="CJ19" i="1"/>
  <c r="CJ22" i="1"/>
  <c r="CJ25" i="1"/>
  <c r="CK44" i="1"/>
  <c r="CK34" i="1"/>
  <c r="CK43" i="1"/>
  <c r="CJ17" i="1"/>
  <c r="CJ16" i="1"/>
  <c r="CJ27" i="1"/>
  <c r="CH36" i="1"/>
  <c r="CH25" i="1"/>
  <c r="CH22" i="1"/>
  <c r="CH19" i="1"/>
  <c r="CH10" i="1"/>
  <c r="CK29" i="1"/>
  <c r="CK28" i="1"/>
  <c r="CJ44" i="1"/>
  <c r="CJ34" i="1"/>
  <c r="CH17" i="1"/>
  <c r="CH16" i="1"/>
  <c r="CH27" i="1"/>
  <c r="CI19" i="1"/>
  <c r="CG36" i="1"/>
  <c r="CG25" i="1"/>
  <c r="CG22" i="1"/>
  <c r="CG19" i="1"/>
  <c r="CG10" i="1"/>
  <c r="CJ43" i="1"/>
  <c r="CJ29" i="1"/>
  <c r="CJ28" i="1"/>
  <c r="CH44" i="1"/>
  <c r="CH34" i="1"/>
  <c r="CG17" i="1"/>
  <c r="CG16" i="1"/>
  <c r="CG27" i="1"/>
  <c r="CG34" i="1"/>
  <c r="CH29" i="1"/>
  <c r="CH28" i="1"/>
  <c r="CH43" i="1"/>
  <c r="CG44" i="1"/>
  <c r="CG29" i="1"/>
  <c r="CG28" i="1"/>
  <c r="CG43" i="1"/>
  <c r="CF36" i="1"/>
  <c r="CD36" i="1"/>
  <c r="CE36" i="1"/>
  <c r="CF25" i="1"/>
  <c r="CF22" i="1"/>
  <c r="CF19" i="1"/>
  <c r="CF10" i="1"/>
  <c r="CF17" i="1"/>
  <c r="CF16" i="1"/>
  <c r="CF27" i="1"/>
  <c r="CF34" i="1"/>
  <c r="CI22" i="1"/>
  <c r="CI17" i="1"/>
  <c r="CF44" i="1"/>
  <c r="CE25" i="1"/>
  <c r="CE22" i="1"/>
  <c r="CE19" i="1"/>
  <c r="CE10" i="1"/>
  <c r="CE17" i="1"/>
  <c r="CE16" i="1"/>
  <c r="CE27" i="1"/>
  <c r="CE34" i="1"/>
  <c r="CE43" i="1"/>
  <c r="CF29" i="1"/>
  <c r="CF28" i="1"/>
  <c r="CF43" i="1"/>
  <c r="CI36" i="1"/>
  <c r="CE44" i="1"/>
  <c r="CE29" i="1"/>
  <c r="CE28" i="1"/>
  <c r="CD25" i="1"/>
  <c r="CD22" i="1"/>
  <c r="CD19" i="1"/>
  <c r="CD10" i="1"/>
  <c r="CD17" i="1"/>
  <c r="CD16" i="1"/>
  <c r="CD27" i="1"/>
  <c r="CI25" i="1"/>
  <c r="CI10" i="1"/>
  <c r="CI16" i="1"/>
  <c r="CD44" i="1"/>
  <c r="CD34" i="1"/>
  <c r="CC42" i="1"/>
  <c r="CD29" i="1"/>
  <c r="CD28" i="1"/>
  <c r="CD43" i="1"/>
  <c r="CI27" i="1"/>
  <c r="CI34" i="1"/>
  <c r="CI29" i="1"/>
  <c r="CC19" i="1"/>
  <c r="CC22" i="1"/>
  <c r="CI43" i="1"/>
  <c r="CI44" i="1"/>
  <c r="CC10" i="1"/>
  <c r="CC25" i="1"/>
  <c r="CC36" i="1"/>
  <c r="CI28" i="1"/>
  <c r="CC17" i="1"/>
  <c r="CC16" i="1"/>
  <c r="CC27" i="1"/>
  <c r="CC34" i="1"/>
  <c r="CB10" i="1"/>
  <c r="CB19" i="1"/>
  <c r="CB22" i="1"/>
  <c r="CB25" i="1"/>
  <c r="CB36" i="1"/>
  <c r="CC44" i="1"/>
  <c r="CC29" i="1"/>
  <c r="CC28" i="1"/>
  <c r="CC43" i="1"/>
  <c r="CB17" i="1"/>
  <c r="CB16" i="1"/>
  <c r="CB27" i="1"/>
  <c r="CA10" i="1"/>
  <c r="CA19" i="1"/>
  <c r="CA22" i="1"/>
  <c r="CA25" i="1"/>
  <c r="CA36" i="1"/>
  <c r="CA17" i="1"/>
  <c r="CA16" i="1"/>
  <c r="CA27" i="1"/>
  <c r="CA44" i="1"/>
  <c r="CB34" i="1"/>
  <c r="CB43" i="1"/>
  <c r="CB44" i="1"/>
  <c r="BZ10" i="1"/>
  <c r="BZ19" i="1"/>
  <c r="BZ22" i="1"/>
  <c r="BZ17" i="1"/>
  <c r="BZ25" i="1"/>
  <c r="BZ36" i="1"/>
  <c r="BZ16" i="1"/>
  <c r="BZ27" i="1"/>
  <c r="BZ44" i="1"/>
  <c r="CB29" i="1"/>
  <c r="CB28" i="1"/>
  <c r="CA34" i="1"/>
  <c r="CA29" i="1"/>
  <c r="CA28" i="1"/>
  <c r="BY10" i="1"/>
  <c r="BY19" i="1"/>
  <c r="BY22" i="1"/>
  <c r="BY25" i="1"/>
  <c r="BY36" i="1"/>
  <c r="BZ34" i="1"/>
  <c r="BZ29" i="1"/>
  <c r="BZ28" i="1"/>
  <c r="CA43" i="1"/>
  <c r="BZ43" i="1"/>
  <c r="BY17" i="1"/>
  <c r="BY16" i="1"/>
  <c r="BY27" i="1"/>
  <c r="BY44" i="1"/>
  <c r="BX36" i="1"/>
  <c r="BX10" i="1"/>
  <c r="BX19" i="1"/>
  <c r="BX22" i="1"/>
  <c r="BX25" i="1"/>
  <c r="BY34" i="1"/>
  <c r="BY43" i="1"/>
  <c r="BX17" i="1"/>
  <c r="BX16" i="1"/>
  <c r="BX27" i="1"/>
  <c r="BW10" i="1"/>
  <c r="BW19" i="1"/>
  <c r="BW22" i="1"/>
  <c r="BW25" i="1"/>
  <c r="BW36" i="1"/>
  <c r="BW17" i="1"/>
  <c r="BW16" i="1"/>
  <c r="BW27" i="1"/>
  <c r="BW34" i="1"/>
  <c r="BX44" i="1"/>
  <c r="BX34" i="1"/>
  <c r="BX29" i="1"/>
  <c r="BX28" i="1"/>
  <c r="BY29" i="1"/>
  <c r="BY28" i="1"/>
  <c r="BV10" i="1"/>
  <c r="BV19" i="1"/>
  <c r="BV22" i="1"/>
  <c r="BV25" i="1"/>
  <c r="BV36" i="1"/>
  <c r="BW44" i="1"/>
  <c r="BV17" i="1"/>
  <c r="BV16" i="1"/>
  <c r="BV27" i="1"/>
  <c r="BV44" i="1"/>
  <c r="BX43" i="1"/>
  <c r="BW29" i="1"/>
  <c r="BW28" i="1"/>
  <c r="BW43" i="1"/>
  <c r="BU10" i="1"/>
  <c r="BU19" i="1"/>
  <c r="BU22" i="1"/>
  <c r="BU25" i="1"/>
  <c r="BU36" i="1"/>
  <c r="BV34" i="1"/>
  <c r="BV43" i="1"/>
  <c r="BU17" i="1"/>
  <c r="BU16" i="1"/>
  <c r="BU27" i="1"/>
  <c r="BU44" i="1"/>
  <c r="BT10" i="1"/>
  <c r="BT19" i="1"/>
  <c r="BT22" i="1"/>
  <c r="BT25" i="1"/>
  <c r="BT36" i="1"/>
  <c r="BV29" i="1"/>
  <c r="BV28" i="1"/>
  <c r="BU34" i="1"/>
  <c r="BU43" i="1"/>
  <c r="BT17" i="1"/>
  <c r="BT16" i="1"/>
  <c r="BT27" i="1"/>
  <c r="BT44" i="1"/>
  <c r="BS10" i="1"/>
  <c r="BS19" i="1"/>
  <c r="BS22" i="1"/>
  <c r="BS25" i="1"/>
  <c r="BS36" i="1"/>
  <c r="BT34" i="1"/>
  <c r="BU29" i="1"/>
  <c r="BU28" i="1"/>
  <c r="BT29" i="1"/>
  <c r="BT28" i="1"/>
  <c r="BT43" i="1"/>
  <c r="BS17" i="1"/>
  <c r="BS16" i="1"/>
  <c r="BS27" i="1"/>
  <c r="BS44" i="1"/>
  <c r="BR19" i="1"/>
  <c r="BR22" i="1"/>
  <c r="BR17" i="1"/>
  <c r="BR10" i="1"/>
  <c r="BR25" i="1"/>
  <c r="BR36" i="1"/>
  <c r="BS34" i="1"/>
  <c r="BS29" i="1"/>
  <c r="BS28" i="1"/>
  <c r="BR16" i="1"/>
  <c r="BR27" i="1"/>
  <c r="BR44" i="1"/>
  <c r="BQ19" i="1"/>
  <c r="BQ22" i="1"/>
  <c r="BQ10" i="1"/>
  <c r="BQ25" i="1"/>
  <c r="BQ36" i="1"/>
  <c r="BS43" i="1"/>
  <c r="BR34" i="1"/>
  <c r="BR29" i="1"/>
  <c r="BR28" i="1"/>
  <c r="BQ17" i="1"/>
  <c r="BQ16" i="1"/>
  <c r="BQ27" i="1"/>
  <c r="BQ34" i="1"/>
  <c r="BP10" i="1"/>
  <c r="BP19" i="1"/>
  <c r="BP22" i="1"/>
  <c r="BP25" i="1"/>
  <c r="BP36" i="1"/>
  <c r="BR43" i="1"/>
  <c r="BQ44" i="1"/>
  <c r="BQ29" i="1"/>
  <c r="BQ28" i="1"/>
  <c r="BQ43" i="1"/>
  <c r="BP17" i="1"/>
  <c r="BP16" i="1"/>
  <c r="BP27" i="1"/>
  <c r="BM25" i="1"/>
  <c r="BN25" i="1"/>
  <c r="BO25" i="1"/>
  <c r="BM36" i="1"/>
  <c r="BN36" i="1"/>
  <c r="BO36" i="1"/>
  <c r="BO10" i="1"/>
  <c r="BO19" i="1"/>
  <c r="BO22" i="1"/>
  <c r="BP34" i="1"/>
  <c r="BP43" i="1"/>
  <c r="BP44" i="1"/>
  <c r="BO17" i="1"/>
  <c r="BO16" i="1"/>
  <c r="BO27" i="1"/>
  <c r="BO34" i="1"/>
  <c r="BN10" i="1"/>
  <c r="BN19" i="1"/>
  <c r="BN22" i="1"/>
  <c r="BP29" i="1"/>
  <c r="BP28" i="1"/>
  <c r="BO43" i="1"/>
  <c r="BO44" i="1"/>
  <c r="BN17" i="1"/>
  <c r="BM10" i="1"/>
  <c r="BM19" i="1"/>
  <c r="BM22" i="1"/>
  <c r="BO29" i="1"/>
  <c r="BO28" i="1"/>
  <c r="BN16" i="1"/>
  <c r="BN27" i="1"/>
  <c r="BN34" i="1"/>
  <c r="BM17" i="1"/>
  <c r="BM16" i="1"/>
  <c r="BM27" i="1"/>
  <c r="BM34" i="1"/>
  <c r="BM43" i="1"/>
  <c r="BM44" i="1"/>
  <c r="BN44" i="1"/>
  <c r="BL10" i="1"/>
  <c r="BL25" i="1"/>
  <c r="BN29" i="1"/>
  <c r="BN28" i="1"/>
  <c r="BN43" i="1"/>
  <c r="BM29" i="1"/>
  <c r="BM28" i="1"/>
  <c r="BL36" i="1"/>
  <c r="BL19" i="1"/>
  <c r="BL22" i="1"/>
  <c r="BL17" i="1"/>
  <c r="BL16" i="1"/>
  <c r="BL27" i="1"/>
  <c r="BL34" i="1"/>
  <c r="BL43" i="1"/>
  <c r="BK10" i="1"/>
  <c r="BK19" i="1"/>
  <c r="BK22" i="1"/>
  <c r="BK25" i="1"/>
  <c r="BK17" i="1"/>
  <c r="BK16" i="1"/>
  <c r="BK36" i="1"/>
  <c r="BL29" i="1"/>
  <c r="BL28" i="1"/>
  <c r="BL44" i="1"/>
  <c r="BK27" i="1"/>
  <c r="BJ10" i="1"/>
  <c r="BJ19" i="1"/>
  <c r="BJ22" i="1"/>
  <c r="BJ25" i="1"/>
  <c r="BJ36" i="1"/>
  <c r="BK44" i="1"/>
  <c r="BK34" i="1"/>
  <c r="BJ17" i="1"/>
  <c r="BJ16" i="1"/>
  <c r="BJ27" i="1"/>
  <c r="BJ34" i="1"/>
  <c r="BK29" i="1"/>
  <c r="BK28" i="1"/>
  <c r="BK43" i="1"/>
  <c r="BJ44" i="1"/>
  <c r="BJ29" i="1"/>
  <c r="BJ28" i="1"/>
  <c r="BI25" i="1"/>
  <c r="BI36" i="1"/>
  <c r="BI10" i="1"/>
  <c r="BI19" i="1"/>
  <c r="BI22" i="1"/>
  <c r="BI17" i="1"/>
  <c r="BI16" i="1"/>
  <c r="BI27" i="1"/>
  <c r="BI34" i="1"/>
  <c r="BJ43" i="1"/>
  <c r="BH10" i="1"/>
  <c r="BH19" i="1"/>
  <c r="BH22" i="1"/>
  <c r="BH25" i="1"/>
  <c r="BH36" i="1"/>
  <c r="BI44" i="1"/>
  <c r="BI29" i="1"/>
  <c r="BI28" i="1"/>
  <c r="BI43" i="1"/>
  <c r="BH17" i="1"/>
  <c r="BH16" i="1"/>
  <c r="BH27" i="1"/>
  <c r="BG36" i="1"/>
  <c r="BH34" i="1"/>
  <c r="BH43" i="1"/>
  <c r="BH44" i="1"/>
  <c r="BG25" i="1"/>
  <c r="BF22" i="1"/>
  <c r="BG22" i="1"/>
  <c r="BG19" i="1"/>
  <c r="BG10" i="1"/>
  <c r="BH29" i="1"/>
  <c r="BH28" i="1"/>
  <c r="BG17" i="1"/>
  <c r="BG16" i="1"/>
  <c r="BG27" i="1"/>
  <c r="BF40" i="1"/>
  <c r="BF36" i="1"/>
  <c r="BF35" i="1"/>
  <c r="BG34" i="1"/>
  <c r="BG43" i="1"/>
  <c r="BG44" i="1"/>
  <c r="BF10" i="1"/>
  <c r="BF19" i="1"/>
  <c r="BF25" i="1"/>
  <c r="BG29" i="1"/>
  <c r="BG28" i="1"/>
  <c r="BF17" i="1"/>
  <c r="BF16" i="1"/>
  <c r="BF27" i="1"/>
  <c r="BF34" i="1"/>
  <c r="BF43" i="1"/>
  <c r="BF44" i="1"/>
  <c r="BE38" i="1"/>
  <c r="BE36" i="1"/>
  <c r="BE10" i="1"/>
  <c r="BE19" i="1"/>
  <c r="BE22" i="1"/>
  <c r="BE25" i="1"/>
  <c r="BE17" i="1"/>
  <c r="BF29" i="1"/>
  <c r="BF28" i="1"/>
  <c r="BE16" i="1"/>
  <c r="BE27" i="1"/>
  <c r="BD22" i="1"/>
  <c r="BD19" i="1"/>
  <c r="BD10" i="1"/>
  <c r="BE34" i="1"/>
  <c r="BE43" i="1"/>
  <c r="BE44" i="1"/>
  <c r="BD25" i="1"/>
  <c r="BD36" i="1"/>
  <c r="BE29" i="1"/>
  <c r="BE28" i="1"/>
  <c r="BD17" i="1"/>
  <c r="BC36" i="1"/>
  <c r="AW36" i="1"/>
  <c r="BA36" i="1"/>
  <c r="BB36" i="1"/>
  <c r="BC19" i="1"/>
  <c r="BC10" i="1"/>
  <c r="BC22" i="1"/>
  <c r="BC25" i="1"/>
  <c r="BD16" i="1"/>
  <c r="BD27" i="1"/>
  <c r="BC17" i="1"/>
  <c r="BC16" i="1"/>
  <c r="BC27" i="1"/>
  <c r="BB10" i="1"/>
  <c r="BC34" i="1"/>
  <c r="BC43" i="1"/>
  <c r="BD34" i="1"/>
  <c r="BD29" i="1"/>
  <c r="BD28" i="1"/>
  <c r="BD44" i="1"/>
  <c r="BC44" i="1"/>
  <c r="BC29" i="1"/>
  <c r="BC28" i="1"/>
  <c r="BB35" i="1"/>
  <c r="BB19" i="1"/>
  <c r="BB22" i="1"/>
  <c r="BB25" i="1"/>
  <c r="BD43" i="1"/>
  <c r="BB17" i="1"/>
  <c r="BB16" i="1"/>
  <c r="BB27" i="1"/>
  <c r="BB34" i="1"/>
  <c r="BA10" i="1"/>
  <c r="BA19" i="1"/>
  <c r="BA22" i="1"/>
  <c r="BA25" i="1"/>
  <c r="BB44" i="1"/>
  <c r="BB29" i="1"/>
  <c r="BB28" i="1"/>
  <c r="BB43" i="1"/>
  <c r="BA17" i="1"/>
  <c r="BA16" i="1"/>
  <c r="AZ19" i="1"/>
  <c r="AZ36" i="1"/>
  <c r="AZ10" i="1"/>
  <c r="AZ22" i="1"/>
  <c r="AZ25" i="1"/>
  <c r="BA27" i="1"/>
  <c r="BA34" i="1"/>
  <c r="AZ17" i="1"/>
  <c r="AZ16" i="1"/>
  <c r="AZ27" i="1"/>
  <c r="AZ34" i="1"/>
  <c r="AY36" i="1"/>
  <c r="BA44" i="1"/>
  <c r="BA29" i="1"/>
  <c r="BA28" i="1"/>
  <c r="AZ44" i="1"/>
  <c r="AZ43" i="1"/>
  <c r="AZ29" i="1"/>
  <c r="AZ28" i="1"/>
  <c r="AY10" i="1"/>
  <c r="AY19" i="1"/>
  <c r="AY22" i="1"/>
  <c r="AY25" i="1"/>
  <c r="BA43" i="1"/>
  <c r="AY17" i="1"/>
  <c r="AY16" i="1"/>
  <c r="AY27" i="1"/>
  <c r="AY34" i="1"/>
  <c r="AX10" i="1"/>
  <c r="AX19" i="1"/>
  <c r="AX22" i="1"/>
  <c r="AX25" i="1"/>
  <c r="AX36" i="1"/>
  <c r="O37" i="1"/>
  <c r="O36" i="1"/>
  <c r="M37" i="1"/>
  <c r="K37" i="1"/>
  <c r="K36" i="1"/>
  <c r="P36" i="1"/>
  <c r="N36" i="1"/>
  <c r="M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M22" i="1"/>
  <c r="L22" i="1"/>
  <c r="K22" i="1"/>
  <c r="J22" i="1"/>
  <c r="I22" i="1"/>
  <c r="H22" i="1"/>
  <c r="G22" i="1"/>
  <c r="F22" i="1"/>
  <c r="E22" i="1"/>
  <c r="P19" i="1"/>
  <c r="P17" i="1"/>
  <c r="P16" i="1"/>
  <c r="O19" i="1"/>
  <c r="O17" i="1"/>
  <c r="O16" i="1"/>
  <c r="N19" i="1"/>
  <c r="N17" i="1"/>
  <c r="N16" i="1"/>
  <c r="M19" i="1"/>
  <c r="M17" i="1"/>
  <c r="M16" i="1"/>
  <c r="L19" i="1"/>
  <c r="K19" i="1"/>
  <c r="J19" i="1"/>
  <c r="I19" i="1"/>
  <c r="H19" i="1"/>
  <c r="G19" i="1"/>
  <c r="G17" i="1"/>
  <c r="G16" i="1"/>
  <c r="F19" i="1"/>
  <c r="F17" i="1"/>
  <c r="F16" i="1"/>
  <c r="E19" i="1"/>
  <c r="E17" i="1"/>
  <c r="E16" i="1"/>
  <c r="K17" i="1"/>
  <c r="K16" i="1"/>
  <c r="I17" i="1"/>
  <c r="I16" i="1"/>
  <c r="H17" i="1"/>
  <c r="H16" i="1"/>
  <c r="P10" i="1"/>
  <c r="O10" i="1"/>
  <c r="N10" i="1"/>
  <c r="M10" i="1"/>
  <c r="L10" i="1"/>
  <c r="K10" i="1"/>
  <c r="J10" i="1"/>
  <c r="I10" i="1"/>
  <c r="H10" i="1"/>
  <c r="G10" i="1"/>
  <c r="F10" i="1"/>
  <c r="E10" i="1"/>
  <c r="J17" i="1"/>
  <c r="J16" i="1"/>
  <c r="I27" i="1"/>
  <c r="I34" i="1"/>
  <c r="G27" i="1"/>
  <c r="G34" i="1"/>
  <c r="N27" i="1"/>
  <c r="N34" i="1"/>
  <c r="E27" i="1"/>
  <c r="E34" i="1"/>
  <c r="K27" i="1"/>
  <c r="M27" i="1"/>
  <c r="M34" i="1"/>
  <c r="F27" i="1"/>
  <c r="F34" i="1"/>
  <c r="J27" i="1"/>
  <c r="J34" i="1"/>
  <c r="O27" i="1"/>
  <c r="O34" i="1"/>
  <c r="H27" i="1"/>
  <c r="H34" i="1"/>
  <c r="L17" i="1"/>
  <c r="L16" i="1"/>
  <c r="L27" i="1"/>
  <c r="L34" i="1"/>
  <c r="P27" i="1"/>
  <c r="P44" i="1"/>
  <c r="K34" i="1"/>
  <c r="AY44" i="1"/>
  <c r="AX17" i="1"/>
  <c r="AX16" i="1"/>
  <c r="AX27" i="1"/>
  <c r="AX34" i="1"/>
  <c r="J44" i="1"/>
  <c r="N44" i="1"/>
  <c r="F44" i="1"/>
  <c r="E44" i="1"/>
  <c r="I44" i="1"/>
  <c r="K44" i="1"/>
  <c r="O44" i="1"/>
  <c r="G44" i="1"/>
  <c r="M44" i="1"/>
  <c r="H44" i="1"/>
  <c r="L44" i="1"/>
  <c r="P34" i="1"/>
  <c r="P43" i="1"/>
  <c r="AX44" i="1"/>
  <c r="AX29" i="1"/>
  <c r="AX28" i="1"/>
  <c r="AY43" i="1"/>
  <c r="AY29" i="1"/>
  <c r="AY28" i="1"/>
  <c r="F43" i="1"/>
  <c r="F29" i="1"/>
  <c r="F28" i="1"/>
  <c r="P29" i="1"/>
  <c r="P28" i="1"/>
  <c r="N43" i="1"/>
  <c r="N29" i="1"/>
  <c r="N28" i="1"/>
  <c r="L43" i="1"/>
  <c r="L29" i="1"/>
  <c r="L28" i="1"/>
  <c r="J43" i="1"/>
  <c r="J29" i="1"/>
  <c r="J28" i="1"/>
  <c r="H43" i="1"/>
  <c r="H29" i="1"/>
  <c r="H28" i="1"/>
  <c r="O29" i="1"/>
  <c r="O28" i="1"/>
  <c r="O43" i="1"/>
  <c r="M29" i="1"/>
  <c r="M28" i="1"/>
  <c r="M43" i="1"/>
  <c r="K29" i="1"/>
  <c r="K28" i="1"/>
  <c r="K43" i="1"/>
  <c r="I29" i="1"/>
  <c r="I28" i="1"/>
  <c r="I43" i="1"/>
  <c r="G29" i="1"/>
  <c r="G28" i="1"/>
  <c r="G43" i="1"/>
  <c r="E29" i="1"/>
  <c r="E28" i="1"/>
  <c r="E43" i="1"/>
  <c r="AX43" i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X22" i="1"/>
  <c r="W22" i="1"/>
  <c r="V22" i="1"/>
  <c r="U22" i="1"/>
  <c r="T22" i="1"/>
  <c r="S22" i="1"/>
  <c r="R22" i="1"/>
  <c r="Q22" i="1"/>
  <c r="AB19" i="1"/>
  <c r="AA19" i="1"/>
  <c r="AA17" i="1"/>
  <c r="AA16" i="1"/>
  <c r="Z19" i="1"/>
  <c r="Y19" i="1"/>
  <c r="X19" i="1"/>
  <c r="W19" i="1"/>
  <c r="V19" i="1"/>
  <c r="U19" i="1"/>
  <c r="T19" i="1"/>
  <c r="S19" i="1"/>
  <c r="R19" i="1"/>
  <c r="Q19" i="1"/>
  <c r="AB17" i="1"/>
  <c r="Z17" i="1"/>
  <c r="Y17" i="1"/>
  <c r="X17" i="1"/>
  <c r="W17" i="1"/>
  <c r="W16" i="1"/>
  <c r="V17" i="1"/>
  <c r="U17" i="1"/>
  <c r="T17" i="1"/>
  <c r="T16" i="1"/>
  <c r="S17" i="1"/>
  <c r="S16" i="1"/>
  <c r="R17" i="1"/>
  <c r="R16" i="1"/>
  <c r="Q17" i="1"/>
  <c r="AB16" i="1"/>
  <c r="Z16" i="1"/>
  <c r="Y16" i="1"/>
  <c r="X16" i="1"/>
  <c r="V16" i="1"/>
  <c r="U16" i="1"/>
  <c r="Q16" i="1"/>
  <c r="AB10" i="1"/>
  <c r="AB27" i="1"/>
  <c r="AB34" i="1"/>
  <c r="AA10" i="1"/>
  <c r="Z10" i="1"/>
  <c r="Z27" i="1"/>
  <c r="Z34" i="1"/>
  <c r="Y10" i="1"/>
  <c r="Y27" i="1"/>
  <c r="Y34" i="1"/>
  <c r="X10" i="1"/>
  <c r="X27" i="1"/>
  <c r="X34" i="1"/>
  <c r="W10" i="1"/>
  <c r="V10" i="1"/>
  <c r="U10" i="1"/>
  <c r="T10" i="1"/>
  <c r="S10" i="1"/>
  <c r="R10" i="1"/>
  <c r="Q10" i="1"/>
  <c r="Q27" i="1"/>
  <c r="Q34" i="1"/>
  <c r="U27" i="1"/>
  <c r="U34" i="1"/>
  <c r="T27" i="1"/>
  <c r="T34" i="1"/>
  <c r="R27" i="1"/>
  <c r="R34" i="1"/>
  <c r="V27" i="1"/>
  <c r="V34" i="1"/>
  <c r="AA27" i="1"/>
  <c r="AA34" i="1"/>
  <c r="W27" i="1"/>
  <c r="W34" i="1"/>
  <c r="S27" i="1"/>
  <c r="S34" i="1"/>
  <c r="W44" i="1"/>
  <c r="Y44" i="1"/>
  <c r="Q44" i="1"/>
  <c r="T44" i="1"/>
  <c r="X44" i="1"/>
  <c r="Z44" i="1"/>
  <c r="AB44" i="1"/>
  <c r="U44" i="1"/>
  <c r="AA44" i="1"/>
  <c r="V44" i="1"/>
  <c r="R44" i="1"/>
  <c r="S44" i="1"/>
  <c r="X43" i="1"/>
  <c r="X29" i="1"/>
  <c r="X28" i="1"/>
  <c r="T43" i="1"/>
  <c r="T29" i="1"/>
  <c r="T28" i="1"/>
  <c r="U43" i="1"/>
  <c r="U29" i="1"/>
  <c r="U28" i="1"/>
  <c r="AA43" i="1"/>
  <c r="AA29" i="1"/>
  <c r="AA28" i="1"/>
  <c r="W43" i="1"/>
  <c r="W29" i="1"/>
  <c r="W28" i="1"/>
  <c r="S43" i="1"/>
  <c r="S29" i="1"/>
  <c r="S28" i="1"/>
  <c r="AB43" i="1"/>
  <c r="AB29" i="1"/>
  <c r="AB28" i="1"/>
  <c r="Z43" i="1"/>
  <c r="Z29" i="1"/>
  <c r="Z28" i="1"/>
  <c r="V43" i="1"/>
  <c r="V29" i="1"/>
  <c r="V28" i="1"/>
  <c r="R43" i="1"/>
  <c r="R29" i="1"/>
  <c r="R28" i="1"/>
  <c r="Q43" i="1"/>
  <c r="Q29" i="1"/>
  <c r="Q28" i="1"/>
  <c r="Y43" i="1"/>
  <c r="Y29" i="1"/>
  <c r="Y28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N19" i="1"/>
  <c r="AM19" i="1"/>
  <c r="AM17" i="1"/>
  <c r="AM16" i="1"/>
  <c r="AL19" i="1"/>
  <c r="AL17" i="1"/>
  <c r="AL16" i="1"/>
  <c r="AK19" i="1"/>
  <c r="AK17" i="1"/>
  <c r="AK16" i="1"/>
  <c r="AJ19" i="1"/>
  <c r="AJ17" i="1"/>
  <c r="AJ16" i="1"/>
  <c r="AI19" i="1"/>
  <c r="AI17" i="1"/>
  <c r="AI16" i="1"/>
  <c r="AH19" i="1"/>
  <c r="AG19" i="1"/>
  <c r="AG17" i="1"/>
  <c r="AG16" i="1"/>
  <c r="AF19" i="1"/>
  <c r="AF17" i="1"/>
  <c r="AF16" i="1"/>
  <c r="AE19" i="1"/>
  <c r="AE17" i="1"/>
  <c r="AE16" i="1"/>
  <c r="AD19" i="1"/>
  <c r="AD17" i="1"/>
  <c r="AD16" i="1"/>
  <c r="AC19" i="1"/>
  <c r="AC17" i="1"/>
  <c r="AC16" i="1"/>
  <c r="AN17" i="1"/>
  <c r="AN16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H17" i="1"/>
  <c r="AH16" i="1"/>
  <c r="AN27" i="1"/>
  <c r="AN34" i="1"/>
  <c r="AC27" i="1"/>
  <c r="AC34" i="1"/>
  <c r="AK27" i="1"/>
  <c r="AK34" i="1"/>
  <c r="AD27" i="1"/>
  <c r="AD34" i="1"/>
  <c r="AF27" i="1"/>
  <c r="AF34" i="1"/>
  <c r="AJ27" i="1"/>
  <c r="AJ34" i="1"/>
  <c r="AG27" i="1"/>
  <c r="AG34" i="1"/>
  <c r="AH27" i="1"/>
  <c r="AH34" i="1"/>
  <c r="AE27" i="1"/>
  <c r="AE34" i="1"/>
  <c r="AI27" i="1"/>
  <c r="AI34" i="1"/>
  <c r="AM27" i="1"/>
  <c r="AM34" i="1"/>
  <c r="AL27" i="1"/>
  <c r="AL34" i="1"/>
  <c r="AK44" i="1"/>
  <c r="AE44" i="1"/>
  <c r="AN44" i="1"/>
  <c r="AW10" i="1"/>
  <c r="AW19" i="1"/>
  <c r="AW22" i="1"/>
  <c r="AW25" i="1"/>
  <c r="AC44" i="1"/>
  <c r="AI44" i="1"/>
  <c r="AJ44" i="1"/>
  <c r="AH44" i="1"/>
  <c r="AF44" i="1"/>
  <c r="AL44" i="1"/>
  <c r="AD44" i="1"/>
  <c r="AG44" i="1"/>
  <c r="AM44" i="1"/>
  <c r="AN43" i="1"/>
  <c r="AN29" i="1"/>
  <c r="AN28" i="1"/>
  <c r="AJ43" i="1"/>
  <c r="AJ29" i="1"/>
  <c r="AJ28" i="1"/>
  <c r="AF43" i="1"/>
  <c r="AF29" i="1"/>
  <c r="AF28" i="1"/>
  <c r="AE43" i="1"/>
  <c r="AE29" i="1"/>
  <c r="AE28" i="1"/>
  <c r="AK43" i="1"/>
  <c r="AK29" i="1"/>
  <c r="AK28" i="1"/>
  <c r="AG43" i="1"/>
  <c r="AG29" i="1"/>
  <c r="AG28" i="1"/>
  <c r="AC43" i="1"/>
  <c r="AC29" i="1"/>
  <c r="AC28" i="1"/>
  <c r="AL43" i="1"/>
  <c r="AL29" i="1"/>
  <c r="AL28" i="1"/>
  <c r="AH43" i="1"/>
  <c r="AH29" i="1"/>
  <c r="AH28" i="1"/>
  <c r="AD43" i="1"/>
  <c r="AD29" i="1"/>
  <c r="AD28" i="1"/>
  <c r="AM43" i="1"/>
  <c r="AM29" i="1"/>
  <c r="AM28" i="1"/>
  <c r="AI43" i="1"/>
  <c r="AI29" i="1"/>
  <c r="AI28" i="1"/>
  <c r="AW17" i="1"/>
  <c r="AW16" i="1"/>
  <c r="AW27" i="1"/>
  <c r="AW34" i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U22" i="1"/>
  <c r="AT22" i="1"/>
  <c r="AS22" i="1"/>
  <c r="AR22" i="1"/>
  <c r="AQ22" i="1"/>
  <c r="AP22" i="1"/>
  <c r="AO22" i="1"/>
  <c r="AV19" i="1"/>
  <c r="AU19" i="1"/>
  <c r="AT19" i="1"/>
  <c r="AS19" i="1"/>
  <c r="AR19" i="1"/>
  <c r="AQ19" i="1"/>
  <c r="AQ17" i="1"/>
  <c r="AQ16" i="1"/>
  <c r="AP19" i="1"/>
  <c r="AP17" i="1"/>
  <c r="AP16" i="1"/>
  <c r="AO19" i="1"/>
  <c r="AV17" i="1"/>
  <c r="AV16" i="1"/>
  <c r="AU17" i="1"/>
  <c r="AU16" i="1"/>
  <c r="AT17" i="1"/>
  <c r="AT16" i="1"/>
  <c r="AS17" i="1"/>
  <c r="AS16" i="1"/>
  <c r="AS27" i="1"/>
  <c r="AS34" i="1"/>
  <c r="AR17" i="1"/>
  <c r="AR16" i="1"/>
  <c r="D6" i="1"/>
  <c r="D5" i="1"/>
  <c r="AP27" i="1"/>
  <c r="AP34" i="1"/>
  <c r="AV27" i="1"/>
  <c r="AV34" i="1"/>
  <c r="AU27" i="1"/>
  <c r="AU34" i="1"/>
  <c r="AR27" i="1"/>
  <c r="AR34" i="1"/>
  <c r="AR43" i="1"/>
  <c r="AT27" i="1"/>
  <c r="AT34" i="1"/>
  <c r="AO17" i="1"/>
  <c r="AO16" i="1"/>
  <c r="AO27" i="1"/>
  <c r="AO34" i="1"/>
  <c r="AW44" i="1"/>
  <c r="AW43" i="1"/>
  <c r="AQ27" i="1"/>
  <c r="AQ34" i="1"/>
  <c r="AV44" i="1"/>
  <c r="AS44" i="1"/>
  <c r="AR44" i="1"/>
  <c r="AP44" i="1"/>
  <c r="AU44" i="1"/>
  <c r="AO44" i="1"/>
  <c r="AT44" i="1"/>
  <c r="AQ44" i="1"/>
  <c r="AW29" i="1"/>
  <c r="AW28" i="1"/>
  <c r="AS29" i="1"/>
  <c r="AS28" i="1"/>
  <c r="AS43" i="1"/>
  <c r="AU29" i="1"/>
  <c r="AU28" i="1"/>
  <c r="AU43" i="1"/>
  <c r="AP29" i="1"/>
  <c r="AP28" i="1"/>
  <c r="AP43" i="1"/>
  <c r="AV29" i="1"/>
  <c r="AV28" i="1"/>
  <c r="AV43" i="1"/>
  <c r="AT29" i="1"/>
  <c r="AT28" i="1"/>
  <c r="AT43" i="1"/>
  <c r="AR29" i="1"/>
  <c r="AR28" i="1"/>
  <c r="AQ29" i="1"/>
  <c r="AQ28" i="1"/>
  <c r="AQ43" i="1"/>
  <c r="AO29" i="1"/>
  <c r="AO28" i="1"/>
  <c r="AO43" i="1"/>
  <c r="DC34" i="1"/>
  <c r="DC29" i="1" s="1"/>
  <c r="DC28" i="1" s="1"/>
  <c r="DD43" i="1" l="1"/>
  <c r="DC43" i="1"/>
  <c r="DE29" i="1"/>
  <c r="DE28" i="1" s="1"/>
  <c r="DE43" i="1"/>
</calcChain>
</file>

<file path=xl/sharedStrings.xml><?xml version="1.0" encoding="utf-8"?>
<sst xmlns="http://schemas.openxmlformats.org/spreadsheetml/2006/main" count="233" uniqueCount="232">
  <si>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</si>
  <si>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</si>
  <si>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</si>
  <si>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</si>
  <si>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</si>
  <si>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</si>
  <si>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</si>
  <si>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</si>
  <si>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</si>
  <si>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</si>
  <si>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</si>
  <si>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</si>
  <si>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</si>
  <si>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</si>
  <si>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</si>
  <si>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</si>
  <si>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</si>
  <si>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</si>
  <si>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</si>
  <si>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</si>
  <si>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</si>
  <si>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</si>
  <si>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</si>
  <si>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</si>
  <si>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</si>
  <si>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</si>
  <si>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</si>
  <si>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</si>
  <si>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</si>
  <si>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</si>
  <si>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</si>
  <si>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</si>
  <si>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</si>
  <si>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</si>
  <si>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</si>
  <si>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</si>
  <si>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</si>
  <si>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</si>
  <si>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</si>
  <si>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</si>
  <si>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</si>
  <si>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</si>
  <si>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</si>
  <si>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</si>
  <si>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</si>
  <si>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</si>
  <si>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</si>
  <si>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</si>
  <si>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</si>
  <si>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</si>
  <si>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</si>
  <si>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</si>
  <si>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</si>
  <si>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</si>
  <si>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</si>
  <si>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</si>
  <si>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</si>
  <si>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</si>
  <si>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</si>
  <si>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</si>
  <si>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</si>
  <si>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</si>
  <si>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</si>
  <si>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</si>
  <si>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</si>
  <si>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</si>
  <si>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</si>
  <si>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</si>
  <si>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</si>
  <si>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</si>
  <si>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</si>
  <si>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</si>
  <si>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</si>
  <si>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</si>
  <si>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</si>
  <si>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</si>
  <si>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</si>
  <si>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</si>
  <si>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</si>
  <si>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</si>
  <si>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</si>
  <si>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</si>
  <si>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</si>
  <si>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</si>
  <si>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</si>
  <si>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</si>
  <si>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</si>
  <si>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</si>
  <si>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</si>
  <si>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</si>
  <si>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</si>
  <si>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</si>
  <si>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</si>
  <si>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</si>
  <si>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</si>
  <si>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</si>
  <si>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</si>
  <si>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</si>
  <si>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</si>
  <si>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</si>
  <si>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</si>
  <si>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</si>
  <si>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</si>
  <si>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</si>
  <si>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</si>
  <si>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</si>
  <si>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</si>
  <si>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</si>
  <si>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</si>
  <si>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</si>
  <si>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</si>
  <si>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</si>
  <si>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</si>
  <si>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</si>
  <si>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</si>
  <si>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</si>
  <si>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</si>
  <si>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</si>
  <si>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</si>
  <si>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</si>
  <si>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</si>
  <si>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</si>
  <si>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</si>
  <si>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</si>
  <si>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</si>
  <si>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</si>
  <si>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</si>
  <si>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</si>
  <si>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</si>
  <si>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</si>
  <si>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</si>
  <si>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</si>
  <si>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</si>
  <si>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</si>
  <si>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</si>
  <si>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</si>
  <si>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</si>
  <si>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</si>
  <si>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</si>
  <si>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Other Outflows (incl'ds BOJ Recapitalization)</t>
  </si>
  <si>
    <t>CGO_035</t>
  </si>
  <si>
    <t>JAM_CG_FBSDFNEFMI_XDC</t>
  </si>
  <si>
    <t>JAM_CG_FBSDFNEFBSL_XDC</t>
  </si>
  <si>
    <t>JAM_CG_FBSDFNEFA_XDC</t>
  </si>
  <si>
    <t>JAM_CG_FBSDFDP_XDC</t>
  </si>
  <si>
    <t>JAM_CG_OBSD_XDC</t>
  </si>
  <si>
    <t>JAM_CG_PBSD_XDC</t>
  </si>
  <si>
    <t>JAM_CG_RGBL_XDC</t>
  </si>
  <si>
    <t>JAM_CG_RGCR_XDC</t>
  </si>
  <si>
    <t>JAM_CG_RGG_XDC</t>
  </si>
  <si>
    <t>JAM_CG_E_XDC</t>
  </si>
  <si>
    <t>JAM_CG_ERE_XDC</t>
  </si>
  <si>
    <t>JAM_CG_EREP_XDC</t>
  </si>
  <si>
    <t>JAM_CG_ERECOE_XDC</t>
  </si>
  <si>
    <t>JAM_CG_ERECOEWS_XDC</t>
  </si>
  <si>
    <t>JAM_CG_ERECOEEC_XDC</t>
  </si>
  <si>
    <t>JAM_CG_EREI_XDC</t>
  </si>
  <si>
    <t>JAM_CG_EREID_XDC</t>
  </si>
  <si>
    <t>JAM_CG_RG_XDC</t>
  </si>
  <si>
    <t>JAM_CG_ERECE_XDC</t>
  </si>
  <si>
    <t>JAM_CG_ERECECP_XDC</t>
  </si>
  <si>
    <t>JAM_CG_FBSD_XDC</t>
  </si>
  <si>
    <t>JAM_CG_FBSDF_XDC</t>
  </si>
  <si>
    <t>JAM_CG_FBSDFNDF_XDC</t>
  </si>
  <si>
    <t>JAM_CG_FBSDFNDFNIP_XDC</t>
  </si>
  <si>
    <t>JAM_CG_FBSDFNDFMI_XDC</t>
  </si>
  <si>
    <t>JAM_CG_FBSDFNDFT_XDC</t>
  </si>
  <si>
    <t>JAM_CG_FBSDFNDFCBL_XDC</t>
  </si>
  <si>
    <t>JAM_CG_FBSDFNDFOIDD_XDC</t>
  </si>
  <si>
    <t>JAM_CG_FBSDFNDFA_XDC</t>
  </si>
  <si>
    <t>JAM_CG_FBSDFNEF_XDC</t>
  </si>
  <si>
    <t>JAM_CG_EREIE_XDC</t>
  </si>
  <si>
    <t>JAM_CG_RGTR_XDC</t>
  </si>
  <si>
    <t>JAM_CG_RGNR_XDC</t>
  </si>
  <si>
    <t>JAM_CG_FBSOIPCDF_XDC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</si>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</sst>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[$€-2]* #,##0.00_-;\-[$€-2]* #,##0.00_-;_-[$€-2]* &quot;-&quot;??_-"/>
    <numFmt numFmtId="174" formatCode="_-&quot;¢&quot;* #,##0_-;\-&quot;¢&quot;* #,##0_-;_-&quot;¢&quot;* &quot;-&quot;_-;_-@_-"/>
    <numFmt numFmtId="175" formatCode="_-&quot;¢&quot;* #,##0.00_-;\-&quot;¢&quot;* #,##0.00_-;_-&quot;¢&quot;* &quot;-&quot;??_-;_-@_-"/>
    <numFmt numFmtId="176" formatCode="[Black][&gt;0.05]#,##0.0;[Black][&lt;-0.05]\-#,##0.0;;"/>
    <numFmt numFmtId="177" formatCode="[Black][&gt;0.5]#,##0;[Black][&lt;-0.5]\-#,##0;;"/>
    <numFmt numFmtId="178" formatCode="#,##0.0____"/>
    <numFmt numFmtId="179" formatCode="\$#,##0.00\ ;\(\$#,##0.00\)"/>
    <numFmt numFmtId="180" formatCode="_-&quot;£&quot;* #,##0.00_-;\-&quot;£&quot;* #,##0.00_-;_-&quot;£&quot;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2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165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7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164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79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165" fontId="2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17" applyFon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165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5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 applyBorder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 applyBorder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right"/>
    </xf>
    <xf numFmtId="166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NumberFormat="1" applyFont="1" applyFill="1" applyBorder="1" applyAlignment="1">
      <alignment horizontal="left" indent="1"/>
    </xf>
    <xf numFmtId="166" fontId="7" fillId="5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2"/>
    </xf>
    <xf numFmtId="166" fontId="7" fillId="0" borderId="0" xfId="1" applyNumberFormat="1" applyFont="1" applyFill="1" applyBorder="1"/>
    <xf numFmtId="0" fontId="7" fillId="0" borderId="0" xfId="0" applyNumberFormat="1" applyFont="1" applyFill="1" applyBorder="1" applyAlignment="1">
      <alignment horizontal="left" indent="3"/>
    </xf>
    <xf numFmtId="0" fontId="5" fillId="0" borderId="7" xfId="0" applyNumberFormat="1" applyFont="1" applyFill="1" applyBorder="1" applyAlignment="1"/>
    <xf numFmtId="0" fontId="10" fillId="0" borderId="0" xfId="0" applyFont="1"/>
    <xf numFmtId="166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0" xfId="0" applyBorder="1"/>
    <xf numFmtId="0" fontId="0" fillId="3" borderId="0" xfId="0" applyFill="1" applyBorder="1" applyAlignment="1">
      <alignment horizontal="left"/>
    </xf>
    <xf numFmtId="166" fontId="6" fillId="5" borderId="12" xfId="1" applyNumberFormat="1" applyFont="1" applyFill="1" applyBorder="1"/>
    <xf numFmtId="166" fontId="7" fillId="5" borderId="12" xfId="1" applyNumberFormat="1" applyFont="1" applyFill="1" applyBorder="1"/>
    <xf numFmtId="166" fontId="7" fillId="0" borderId="12" xfId="1" applyNumberFormat="1" applyFont="1" applyFill="1" applyBorder="1"/>
    <xf numFmtId="166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6" fontId="6" fillId="5" borderId="10" xfId="1" applyNumberFormat="1" applyFont="1" applyFill="1" applyBorder="1"/>
    <xf numFmtId="166" fontId="7" fillId="5" borderId="10" xfId="1" applyNumberFormat="1" applyFont="1" applyFill="1" applyBorder="1"/>
    <xf numFmtId="166" fontId="7" fillId="0" borderId="10" xfId="1" applyNumberFormat="1" applyFont="1" applyFill="1" applyBorder="1"/>
    <xf numFmtId="166" fontId="6" fillId="5" borderId="1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right"/>
    </xf>
    <xf numFmtId="166" fontId="6" fillId="4" borderId="12" xfId="1" applyNumberFormat="1" applyFont="1" applyFill="1" applyBorder="1"/>
    <xf numFmtId="166" fontId="6" fillId="4" borderId="0" xfId="1" applyNumberFormat="1" applyFont="1" applyFill="1" applyBorder="1"/>
    <xf numFmtId="166" fontId="6" fillId="4" borderId="10" xfId="1" applyNumberFormat="1" applyFont="1" applyFill="1" applyBorder="1"/>
    <xf numFmtId="0" fontId="8" fillId="4" borderId="0" xfId="0" applyFont="1" applyFill="1" applyBorder="1" applyAlignment="1">
      <alignment horizontal="left" indent="3"/>
    </xf>
    <xf numFmtId="166" fontId="7" fillId="4" borderId="0" xfId="1" applyNumberFormat="1" applyFont="1" applyFill="1" applyBorder="1"/>
    <xf numFmtId="0" fontId="9" fillId="4" borderId="0" xfId="0" applyFont="1" applyFill="1" applyBorder="1" applyAlignment="1">
      <alignment horizontal="left" indent="3"/>
    </xf>
    <xf numFmtId="166" fontId="7" fillId="4" borderId="12" xfId="1" applyNumberFormat="1" applyFont="1" applyFill="1" applyBorder="1"/>
    <xf numFmtId="166" fontId="7" fillId="4" borderId="10" xfId="1" applyNumberFormat="1" applyFont="1" applyFill="1" applyBorder="1"/>
    <xf numFmtId="0" fontId="0" fillId="4" borderId="0" xfId="0" applyFill="1" applyBorder="1"/>
    <xf numFmtId="0" fontId="0" fillId="4" borderId="0" xfId="0" applyFont="1" applyFill="1" applyBorder="1"/>
    <xf numFmtId="0" fontId="0" fillId="4" borderId="10" xfId="0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6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</cellXfs>
  <cellStyles count="1148">
    <cellStyle name="1 indent" xfId="4"/>
    <cellStyle name="2 indents" xfId="5"/>
    <cellStyle name="20% - Accent1" xfId="346" builtinId="30" customBuiltin="1"/>
    <cellStyle name="20% - Accent1 2" xfId="6"/>
    <cellStyle name="20% - Accent1 2 2" xfId="370"/>
    <cellStyle name="20% - Accent1 2 3" xfId="371"/>
    <cellStyle name="20% - Accent1 3" xfId="7"/>
    <cellStyle name="20% - Accent1 3 2" xfId="372"/>
    <cellStyle name="20% - Accent1 3 3" xfId="373"/>
    <cellStyle name="20% - Accent1 4" xfId="8"/>
    <cellStyle name="20% - Accent1 4 2" xfId="374"/>
    <cellStyle name="20% - Accent1 4 3" xfId="375"/>
    <cellStyle name="20% - Accent1 5" xfId="9"/>
    <cellStyle name="20% - Accent1 5 2" xfId="376"/>
    <cellStyle name="20% - Accent1 5 3" xfId="377"/>
    <cellStyle name="20% - Accent2" xfId="350" builtinId="34" customBuiltin="1"/>
    <cellStyle name="20% - Accent2 2" xfId="10"/>
    <cellStyle name="20% - Accent2 2 2" xfId="378"/>
    <cellStyle name="20% - Accent2 2 3" xfId="379"/>
    <cellStyle name="20% - Accent2 3" xfId="11"/>
    <cellStyle name="20% - Accent2 3 2" xfId="380"/>
    <cellStyle name="20% - Accent2 3 3" xfId="381"/>
    <cellStyle name="20% - Accent2 4" xfId="12"/>
    <cellStyle name="20% - Accent2 4 2" xfId="382"/>
    <cellStyle name="20% - Accent2 4 3" xfId="383"/>
    <cellStyle name="20% - Accent2 5" xfId="13"/>
    <cellStyle name="20% - Accent2 5 2" xfId="384"/>
    <cellStyle name="20% - Accent2 5 3" xfId="385"/>
    <cellStyle name="20% - Accent3" xfId="354" builtinId="38" customBuiltin="1"/>
    <cellStyle name="20% - Accent3 2" xfId="14"/>
    <cellStyle name="20% - Accent3 2 2" xfId="386"/>
    <cellStyle name="20% - Accent3 2 3" xfId="387"/>
    <cellStyle name="20% - Accent3 3" xfId="15"/>
    <cellStyle name="20% - Accent3 3 2" xfId="388"/>
    <cellStyle name="20% - Accent3 3 3" xfId="389"/>
    <cellStyle name="20% - Accent3 4" xfId="16"/>
    <cellStyle name="20% - Accent3 4 2" xfId="390"/>
    <cellStyle name="20% - Accent3 4 3" xfId="391"/>
    <cellStyle name="20% - Accent3 5" xfId="17"/>
    <cellStyle name="20% - Accent3 5 2" xfId="392"/>
    <cellStyle name="20% - Accent3 5 3" xfId="393"/>
    <cellStyle name="20% - Accent4" xfId="358" builtinId="42" customBuiltin="1"/>
    <cellStyle name="20% - Accent4 2" xfId="18"/>
    <cellStyle name="20% - Accent4 2 2" xfId="394"/>
    <cellStyle name="20% - Accent4 2 3" xfId="395"/>
    <cellStyle name="20% - Accent4 3" xfId="19"/>
    <cellStyle name="20% - Accent4 3 2" xfId="396"/>
    <cellStyle name="20% - Accent4 3 3" xfId="397"/>
    <cellStyle name="20% - Accent4 4" xfId="20"/>
    <cellStyle name="20% - Accent4 4 2" xfId="398"/>
    <cellStyle name="20% - Accent4 4 3" xfId="399"/>
    <cellStyle name="20% - Accent4 5" xfId="21"/>
    <cellStyle name="20% - Accent4 5 2" xfId="400"/>
    <cellStyle name="20% - Accent4 5 3" xfId="401"/>
    <cellStyle name="20% - Accent5" xfId="362" builtinId="46" customBuiltin="1"/>
    <cellStyle name="20% - Accent5 2" xfId="22"/>
    <cellStyle name="20% - Accent5 2 2" xfId="402"/>
    <cellStyle name="20% - Accent5 2 3" xfId="403"/>
    <cellStyle name="20% - Accent5 3" xfId="23"/>
    <cellStyle name="20% - Accent5 3 2" xfId="404"/>
    <cellStyle name="20% - Accent5 3 3" xfId="405"/>
    <cellStyle name="20% - Accent5 4" xfId="24"/>
    <cellStyle name="20% - Accent5 4 2" xfId="406"/>
    <cellStyle name="20% - Accent5 4 3" xfId="407"/>
    <cellStyle name="20% - Accent5 5" xfId="25"/>
    <cellStyle name="20% - Accent5 5 2" xfId="408"/>
    <cellStyle name="20% - Accent5 5 3" xfId="409"/>
    <cellStyle name="20% - Accent6" xfId="366" builtinId="50" customBuiltin="1"/>
    <cellStyle name="20% - Accent6 2" xfId="26"/>
    <cellStyle name="20% - Accent6 2 2" xfId="410"/>
    <cellStyle name="20% - Accent6 2 3" xfId="411"/>
    <cellStyle name="20% - Accent6 3" xfId="27"/>
    <cellStyle name="20% - Accent6 3 2" xfId="412"/>
    <cellStyle name="20% - Accent6 3 3" xfId="413"/>
    <cellStyle name="20% - Accent6 4" xfId="28"/>
    <cellStyle name="20% - Accent6 4 2" xfId="414"/>
    <cellStyle name="20% - Accent6 4 3" xfId="415"/>
    <cellStyle name="20% - Accent6 5" xfId="29"/>
    <cellStyle name="20% - Accent6 5 2" xfId="416"/>
    <cellStyle name="20% - Accent6 5 3" xfId="417"/>
    <cellStyle name="3 indents" xfId="30"/>
    <cellStyle name="4 indents" xfId="31"/>
    <cellStyle name="40% - Accent1" xfId="347" builtinId="31" customBuiltin="1"/>
    <cellStyle name="40% - Accent1 2" xfId="32"/>
    <cellStyle name="40% - Accent1 2 2" xfId="418"/>
    <cellStyle name="40% - Accent1 2 3" xfId="419"/>
    <cellStyle name="40% - Accent1 3" xfId="33"/>
    <cellStyle name="40% - Accent1 3 2" xfId="420"/>
    <cellStyle name="40% - Accent1 3 3" xfId="421"/>
    <cellStyle name="40% - Accent1 4" xfId="34"/>
    <cellStyle name="40% - Accent1 4 2" xfId="422"/>
    <cellStyle name="40% - Accent1 4 3" xfId="423"/>
    <cellStyle name="40% - Accent1 5" xfId="35"/>
    <cellStyle name="40% - Accent1 5 2" xfId="424"/>
    <cellStyle name="40% - Accent1 5 3" xfId="425"/>
    <cellStyle name="40% - Accent2" xfId="351" builtinId="35" customBuiltin="1"/>
    <cellStyle name="40% - Accent2 2" xfId="36"/>
    <cellStyle name="40% - Accent2 2 2" xfId="426"/>
    <cellStyle name="40% - Accent2 2 3" xfId="427"/>
    <cellStyle name="40% - Accent2 3" xfId="37"/>
    <cellStyle name="40% - Accent2 3 2" xfId="428"/>
    <cellStyle name="40% - Accent2 3 3" xfId="429"/>
    <cellStyle name="40% - Accent2 4" xfId="38"/>
    <cellStyle name="40% - Accent2 4 2" xfId="430"/>
    <cellStyle name="40% - Accent2 4 3" xfId="431"/>
    <cellStyle name="40% - Accent2 5" xfId="39"/>
    <cellStyle name="40% - Accent2 5 2" xfId="432"/>
    <cellStyle name="40% - Accent2 5 3" xfId="433"/>
    <cellStyle name="40% - Accent3" xfId="355" builtinId="39" customBuiltin="1"/>
    <cellStyle name="40% - Accent3 2" xfId="40"/>
    <cellStyle name="40% - Accent3 2 2" xfId="434"/>
    <cellStyle name="40% - Accent3 2 3" xfId="435"/>
    <cellStyle name="40% - Accent3 3" xfId="41"/>
    <cellStyle name="40% - Accent3 3 2" xfId="436"/>
    <cellStyle name="40% - Accent3 3 3" xfId="437"/>
    <cellStyle name="40% - Accent3 4" xfId="42"/>
    <cellStyle name="40% - Accent3 4 2" xfId="438"/>
    <cellStyle name="40% - Accent3 4 3" xfId="439"/>
    <cellStyle name="40% - Accent3 5" xfId="43"/>
    <cellStyle name="40% - Accent3 5 2" xfId="440"/>
    <cellStyle name="40% - Accent3 5 3" xfId="441"/>
    <cellStyle name="40% - Accent4" xfId="359" builtinId="43" customBuiltin="1"/>
    <cellStyle name="40% - Accent4 2" xfId="44"/>
    <cellStyle name="40% - Accent4 2 2" xfId="442"/>
    <cellStyle name="40% - Accent4 2 3" xfId="443"/>
    <cellStyle name="40% - Accent4 3" xfId="45"/>
    <cellStyle name="40% - Accent4 3 2" xfId="444"/>
    <cellStyle name="40% - Accent4 3 3" xfId="445"/>
    <cellStyle name="40% - Accent4 4" xfId="46"/>
    <cellStyle name="40% - Accent4 4 2" xfId="446"/>
    <cellStyle name="40% - Accent4 4 3" xfId="447"/>
    <cellStyle name="40% - Accent4 5" xfId="47"/>
    <cellStyle name="40% - Accent4 5 2" xfId="448"/>
    <cellStyle name="40% - Accent4 5 3" xfId="449"/>
    <cellStyle name="40% - Accent5" xfId="363" builtinId="47" customBuiltin="1"/>
    <cellStyle name="40% - Accent5 2" xfId="48"/>
    <cellStyle name="40% - Accent5 2 2" xfId="450"/>
    <cellStyle name="40% - Accent5 2 3" xfId="451"/>
    <cellStyle name="40% - Accent5 3" xfId="49"/>
    <cellStyle name="40% - Accent5 3 2" xfId="452"/>
    <cellStyle name="40% - Accent5 3 3" xfId="453"/>
    <cellStyle name="40% - Accent5 4" xfId="50"/>
    <cellStyle name="40% - Accent5 4 2" xfId="454"/>
    <cellStyle name="40% - Accent5 4 3" xfId="455"/>
    <cellStyle name="40% - Accent5 5" xfId="51"/>
    <cellStyle name="40% - Accent5 5 2" xfId="456"/>
    <cellStyle name="40% - Accent5 5 3" xfId="457"/>
    <cellStyle name="40% - Accent6" xfId="367" builtinId="51" customBuiltin="1"/>
    <cellStyle name="40% - Accent6 2" xfId="52"/>
    <cellStyle name="40% - Accent6 2 2" xfId="458"/>
    <cellStyle name="40% - Accent6 2 3" xfId="459"/>
    <cellStyle name="40% - Accent6 3" xfId="53"/>
    <cellStyle name="40% - Accent6 3 2" xfId="460"/>
    <cellStyle name="40% - Accent6 3 3" xfId="461"/>
    <cellStyle name="40% - Accent6 4" xfId="54"/>
    <cellStyle name="40% - Accent6 4 2" xfId="462"/>
    <cellStyle name="40% - Accent6 4 3" xfId="463"/>
    <cellStyle name="40% - Accent6 5" xfId="55"/>
    <cellStyle name="40% - Accent6 5 2" xfId="464"/>
    <cellStyle name="40% - Accent6 5 3" xfId="465"/>
    <cellStyle name="5 indents" xfId="56"/>
    <cellStyle name="60% - Accent1" xfId="348" builtinId="32" customBuiltin="1"/>
    <cellStyle name="60% - Accent1 2" xfId="466"/>
    <cellStyle name="60% - Accent2" xfId="352" builtinId="36" customBuiltin="1"/>
    <cellStyle name="60% - Accent2 2" xfId="467"/>
    <cellStyle name="60% - Accent3" xfId="356" builtinId="40" customBuiltin="1"/>
    <cellStyle name="60% - Accent3 2" xfId="468"/>
    <cellStyle name="60% - Accent4" xfId="360" builtinId="44" customBuiltin="1"/>
    <cellStyle name="60% - Accent4 2" xfId="469"/>
    <cellStyle name="60% - Accent5" xfId="364" builtinId="48" customBuiltin="1"/>
    <cellStyle name="60% - Accent5 2" xfId="470"/>
    <cellStyle name="60% - Accent6" xfId="368" builtinId="52" customBuiltin="1"/>
    <cellStyle name="60% - Accent6 2" xfId="471"/>
    <cellStyle name="Accent1" xfId="345" builtinId="29" customBuiltin="1"/>
    <cellStyle name="Accent1 2" xfId="472"/>
    <cellStyle name="Accent2" xfId="349" builtinId="33" customBuiltin="1"/>
    <cellStyle name="Accent2 2" xfId="473"/>
    <cellStyle name="Accent3" xfId="353" builtinId="37" customBuiltin="1"/>
    <cellStyle name="Accent3 2" xfId="474"/>
    <cellStyle name="Accent4" xfId="357" builtinId="41" customBuiltin="1"/>
    <cellStyle name="Accent4 2" xfId="475"/>
    <cellStyle name="Accent5" xfId="361" builtinId="45" customBuiltin="1"/>
    <cellStyle name="Accent5 2" xfId="476"/>
    <cellStyle name="Accent6" xfId="365" builtinId="49" customBuiltin="1"/>
    <cellStyle name="Accent6 2" xfId="57"/>
    <cellStyle name="ANCLAS,REZONES Y SUS PARTES,DE FUNDICION,DE HIERRO O DE ACERO" xfId="58"/>
    <cellStyle name="Bad" xfId="335" builtinId="27" customBuiltin="1"/>
    <cellStyle name="Bad 2" xfId="59"/>
    <cellStyle name="Bad 2 2" xfId="60"/>
    <cellStyle name="Bad 2 3" xfId="477"/>
    <cellStyle name="Calculation" xfId="339" builtinId="22" customBuiltin="1"/>
    <cellStyle name="Calculation 2" xfId="478"/>
    <cellStyle name="Check Cell" xfId="341" builtinId="23" customBuiltin="1"/>
    <cellStyle name="Check Cell 2" xfId="479"/>
    <cellStyle name="Comma" xfId="1" builtinId="3"/>
    <cellStyle name="Comma 10" xfId="216"/>
    <cellStyle name="Comma 10 2" xfId="480"/>
    <cellStyle name="Comma 11" xfId="218"/>
    <cellStyle name="Comma 11 2" xfId="481"/>
    <cellStyle name="Comma 11 3" xfId="482"/>
    <cellStyle name="Comma 11 4" xfId="483"/>
    <cellStyle name="Comma 11 4 2" xfId="484"/>
    <cellStyle name="Comma 11 4 3" xfId="485"/>
    <cellStyle name="Comma 11 4 3 2" xfId="486"/>
    <cellStyle name="Comma 11 5" xfId="487"/>
    <cellStyle name="Comma 11 6" xfId="488"/>
    <cellStyle name="Comma 11 7" xfId="489"/>
    <cellStyle name="Comma 12" xfId="490"/>
    <cellStyle name="Comma 12 2" xfId="491"/>
    <cellStyle name="Comma 12 2 2" xfId="492"/>
    <cellStyle name="Comma 12 2 2 2" xfId="493"/>
    <cellStyle name="Comma 12 3" xfId="494"/>
    <cellStyle name="Comma 13" xfId="61"/>
    <cellStyle name="Comma 13 2" xfId="62"/>
    <cellStyle name="Comma 14" xfId="495"/>
    <cellStyle name="Comma 14 2" xfId="496"/>
    <cellStyle name="Comma 15" xfId="63"/>
    <cellStyle name="Comma 16" xfId="497"/>
    <cellStyle name="Comma 16 2" xfId="498"/>
    <cellStyle name="Comma 16 3" xfId="499"/>
    <cellStyle name="Comma 17" xfId="500"/>
    <cellStyle name="Comma 18" xfId="501"/>
    <cellStyle name="Comma 19" xfId="502"/>
    <cellStyle name="Comma 2" xfId="64"/>
    <cellStyle name="Comma 2 10" xfId="503"/>
    <cellStyle name="Comma 2 11" xfId="504"/>
    <cellStyle name="Comma 2 2" xfId="65"/>
    <cellStyle name="Comma 2 2 2" xfId="225"/>
    <cellStyle name="Comma 2 2 2 2" xfId="505"/>
    <cellStyle name="Comma 2 2 2 3" xfId="506"/>
    <cellStyle name="Comma 2 2 2 4" xfId="507"/>
    <cellStyle name="Comma 2 2 3" xfId="226"/>
    <cellStyle name="Comma 2 2 3 2" xfId="508"/>
    <cellStyle name="Comma 2 2 4" xfId="509"/>
    <cellStyle name="Comma 2 3" xfId="66"/>
    <cellStyle name="Comma 2 3 2" xfId="227"/>
    <cellStyle name="Comma 2 4" xfId="67"/>
    <cellStyle name="Comma 2 5" xfId="68"/>
    <cellStyle name="Comma 2 6" xfId="69"/>
    <cellStyle name="Comma 2 7" xfId="70"/>
    <cellStyle name="Comma 2 7 2" xfId="510"/>
    <cellStyle name="Comma 2 8" xfId="71"/>
    <cellStyle name="Comma 2 9" xfId="200"/>
    <cellStyle name="Comma 20" xfId="511"/>
    <cellStyle name="Comma 20 2" xfId="512"/>
    <cellStyle name="Comma 21" xfId="513"/>
    <cellStyle name="Comma 22" xfId="514"/>
    <cellStyle name="Comma 22 2" xfId="515"/>
    <cellStyle name="Comma 22 2 2" xfId="516"/>
    <cellStyle name="Comma 22 2 3" xfId="517"/>
    <cellStyle name="Comma 22 3" xfId="518"/>
    <cellStyle name="Comma 22 3 2" xfId="519"/>
    <cellStyle name="Comma 23" xfId="520"/>
    <cellStyle name="Comma 24" xfId="521"/>
    <cellStyle name="Comma 25" xfId="522"/>
    <cellStyle name="Comma 26" xfId="1110"/>
    <cellStyle name="Comma 27" xfId="1111"/>
    <cellStyle name="Comma 3" xfId="72"/>
    <cellStyle name="Comma 3 2" xfId="73"/>
    <cellStyle name="Comma 3 2 2" xfId="74"/>
    <cellStyle name="Comma 3 3" xfId="75"/>
    <cellStyle name="Comma 3 3 2" xfId="523"/>
    <cellStyle name="Comma 3 4" xfId="228"/>
    <cellStyle name="Comma 3 4 2" xfId="524"/>
    <cellStyle name="Comma 3 4 3" xfId="525"/>
    <cellStyle name="Comma 3 5" xfId="526"/>
    <cellStyle name="Comma 3 6" xfId="1006"/>
    <cellStyle name="Comma 4" xfId="76"/>
    <cellStyle name="Comma 4 2" xfId="77"/>
    <cellStyle name="Comma 4 3" xfId="229"/>
    <cellStyle name="Comma 4 4" xfId="527"/>
    <cellStyle name="Comma 4 5" xfId="528"/>
    <cellStyle name="Comma 4 6" xfId="1009"/>
    <cellStyle name="Comma 4_Book2" xfId="78"/>
    <cellStyle name="Comma 5" xfId="79"/>
    <cellStyle name="Comma 5 2" xfId="80"/>
    <cellStyle name="Comma 5 3" xfId="81"/>
    <cellStyle name="Comma 5 4" xfId="529"/>
    <cellStyle name="Comma 6" xfId="82"/>
    <cellStyle name="Comma 6 2" xfId="530"/>
    <cellStyle name="Comma 6 2 2" xfId="531"/>
    <cellStyle name="Comma 6 3" xfId="532"/>
    <cellStyle name="Comma 7" xfId="83"/>
    <cellStyle name="Comma 7 2" xfId="84"/>
    <cellStyle name="Comma 7 2 2" xfId="533"/>
    <cellStyle name="Comma 7 2 2 2" xfId="534"/>
    <cellStyle name="Comma 7 2 2 2 2" xfId="535"/>
    <cellStyle name="Comma 7 2 2 3" xfId="536"/>
    <cellStyle name="Comma 7 2 2 3 2" xfId="537"/>
    <cellStyle name="Comma 7 2 2 4" xfId="538"/>
    <cellStyle name="Comma 7 2 3" xfId="539"/>
    <cellStyle name="Comma 7 3" xfId="540"/>
    <cellStyle name="Comma 7 4" xfId="541"/>
    <cellStyle name="Comma 8" xfId="85"/>
    <cellStyle name="Comma 8 2" xfId="542"/>
    <cellStyle name="Comma 8 2 2" xfId="543"/>
    <cellStyle name="Comma 8 2 2 2" xfId="544"/>
    <cellStyle name="Comma 8 3" xfId="545"/>
    <cellStyle name="Comma 8 4" xfId="546"/>
    <cellStyle name="Comma 9" xfId="86"/>
    <cellStyle name="Comma 9 2" xfId="547"/>
    <cellStyle name="Comma 9 3" xfId="548"/>
    <cellStyle name="Comma 9 3 2" xfId="549"/>
    <cellStyle name="Comma 9 3 2 2" xfId="550"/>
    <cellStyle name="Comma 9 4" xfId="551"/>
    <cellStyle name="Currency 2" xfId="87"/>
    <cellStyle name="Currency 2 2" xfId="552"/>
    <cellStyle name="Currency 3" xfId="553"/>
    <cellStyle name="Euro" xfId="88"/>
    <cellStyle name="Euro 2" xfId="89"/>
    <cellStyle name="Euro 3" xfId="90"/>
    <cellStyle name="Euro 4" xfId="91"/>
    <cellStyle name="Euro 5" xfId="92"/>
    <cellStyle name="Explanatory Text" xfId="343" builtinId="53" customBuiltin="1"/>
    <cellStyle name="Explanatory Text 2" xfId="554"/>
    <cellStyle name="Good" xfId="334" builtinId="26" customBuiltin="1"/>
    <cellStyle name="Good 2" xfId="555"/>
    <cellStyle name="Good 2 2" xfId="1010"/>
    <cellStyle name="Grey" xfId="93"/>
    <cellStyle name="Heading 1" xfId="330" builtinId="16" customBuiltin="1"/>
    <cellStyle name="Heading 1 2" xfId="556"/>
    <cellStyle name="Heading 2" xfId="331" builtinId="17" customBuiltin="1"/>
    <cellStyle name="Heading 2 2" xfId="557"/>
    <cellStyle name="Heading 3" xfId="332" builtinId="18" customBuiltin="1"/>
    <cellStyle name="Heading 3 2" xfId="558"/>
    <cellStyle name="Heading 4" xfId="333" builtinId="19" customBuiltin="1"/>
    <cellStyle name="Heading 4 2" xfId="559"/>
    <cellStyle name="Hipervínculo_IIF" xfId="94"/>
    <cellStyle name="Hyperlink 2" xfId="230"/>
    <cellStyle name="imf-one decimal" xfId="95"/>
    <cellStyle name="imf-zero decimal" xfId="96"/>
    <cellStyle name="Input" xfId="337" builtinId="20" customBuiltin="1"/>
    <cellStyle name="Input [yellow]" xfId="97"/>
    <cellStyle name="Input 2" xfId="560"/>
    <cellStyle name="Linked Cell" xfId="340" builtinId="24" customBuiltin="1"/>
    <cellStyle name="Linked Cell 2" xfId="561"/>
    <cellStyle name="Millares [0]_BALPROGRAMA2001R" xfId="98"/>
    <cellStyle name="Millares_BALPROGRAMA2001R" xfId="99"/>
    <cellStyle name="Milliers [0]_Feuil1" xfId="100"/>
    <cellStyle name="Milliers_Feuil1" xfId="101"/>
    <cellStyle name="Moneda [0]_BALPROGRAMA2001R" xfId="102"/>
    <cellStyle name="Moneda_BALPROGRAMA2001R" xfId="103"/>
    <cellStyle name="Monétaire [0]_Feuil1" xfId="104"/>
    <cellStyle name="Monétaire_Feuil1" xfId="105"/>
    <cellStyle name="Neutral" xfId="336" builtinId="28" customBuiltin="1"/>
    <cellStyle name="Neutral 2" xfId="562"/>
    <cellStyle name="Normal" xfId="0" builtinId="0"/>
    <cellStyle name="Normal - Style1" xfId="106"/>
    <cellStyle name="Normal - Style2" xfId="107"/>
    <cellStyle name="Normal 10" xfId="108"/>
    <cellStyle name="Normal 10 2" xfId="563"/>
    <cellStyle name="Normal 100" xfId="283"/>
    <cellStyle name="Normal 101" xfId="284"/>
    <cellStyle name="Normal 102" xfId="282"/>
    <cellStyle name="Normal 102 2" xfId="564"/>
    <cellStyle name="Normal 102 2 2" xfId="1011"/>
    <cellStyle name="Normal 103" xfId="302"/>
    <cellStyle name="Normal 103 2" xfId="565"/>
    <cellStyle name="Normal 103 2 2" xfId="1012"/>
    <cellStyle name="Normal 104" xfId="303"/>
    <cellStyle name="Normal 104 2" xfId="567"/>
    <cellStyle name="Normal 104 3" xfId="568"/>
    <cellStyle name="Normal 104 4" xfId="569"/>
    <cellStyle name="Normal 104 5" xfId="566"/>
    <cellStyle name="Normal 105" xfId="304"/>
    <cellStyle name="Normal 105 2" xfId="570"/>
    <cellStyle name="Normal 105 3" xfId="571"/>
    <cellStyle name="Normal 106" xfId="305"/>
    <cellStyle name="Normal 106 2" xfId="572"/>
    <cellStyle name="Normal 106 3" xfId="573"/>
    <cellStyle name="Normal 107" xfId="306"/>
    <cellStyle name="Normal 107 2" xfId="574"/>
    <cellStyle name="Normal 107 3" xfId="575"/>
    <cellStyle name="Normal 108" xfId="307"/>
    <cellStyle name="Normal 108 2" xfId="576"/>
    <cellStyle name="Normal 108 3" xfId="577"/>
    <cellStyle name="Normal 109" xfId="308"/>
    <cellStyle name="Normal 109 2" xfId="578"/>
    <cellStyle name="Normal 109 3" xfId="579"/>
    <cellStyle name="Normal 11" xfId="109"/>
    <cellStyle name="Normal 11 2" xfId="580"/>
    <cellStyle name="Normal 11 2 2" xfId="581"/>
    <cellStyle name="Normal 11 2 2 2" xfId="582"/>
    <cellStyle name="Normal 11 3" xfId="583"/>
    <cellStyle name="Normal 110" xfId="309"/>
    <cellStyle name="Normal 110 2" xfId="584"/>
    <cellStyle name="Normal 110 3" xfId="585"/>
    <cellStyle name="Normal 111" xfId="310"/>
    <cellStyle name="Normal 111 2" xfId="586"/>
    <cellStyle name="Normal 111 3" xfId="587"/>
    <cellStyle name="Normal 112" xfId="311"/>
    <cellStyle name="Normal 112 2" xfId="588"/>
    <cellStyle name="Normal 112 3" xfId="589"/>
    <cellStyle name="Normal 113" xfId="590"/>
    <cellStyle name="Normal 113 2" xfId="591"/>
    <cellStyle name="Normal 113 3" xfId="592"/>
    <cellStyle name="Normal 114" xfId="593"/>
    <cellStyle name="Normal 114 2" xfId="594"/>
    <cellStyle name="Normal 114 3" xfId="595"/>
    <cellStyle name="Normal 115" xfId="596"/>
    <cellStyle name="Normal 115 2" xfId="597"/>
    <cellStyle name="Normal 115 3" xfId="598"/>
    <cellStyle name="Normal 116" xfId="599"/>
    <cellStyle name="Normal 116 2" xfId="600"/>
    <cellStyle name="Normal 116 3" xfId="601"/>
    <cellStyle name="Normal 117" xfId="602"/>
    <cellStyle name="Normal 117 2" xfId="603"/>
    <cellStyle name="Normal 117 3" xfId="604"/>
    <cellStyle name="Normal 118" xfId="605"/>
    <cellStyle name="Normal 118 2" xfId="606"/>
    <cellStyle name="Normal 118 3" xfId="607"/>
    <cellStyle name="Normal 119" xfId="608"/>
    <cellStyle name="Normal 119 2" xfId="609"/>
    <cellStyle name="Normal 119 3" xfId="610"/>
    <cellStyle name="Normal 12" xfId="110"/>
    <cellStyle name="Normal 12 2" xfId="611"/>
    <cellStyle name="Normal 12 2 2" xfId="612"/>
    <cellStyle name="Normal 12 3" xfId="613"/>
    <cellStyle name="Normal 120" xfId="614"/>
    <cellStyle name="Normal 120 2" xfId="615"/>
    <cellStyle name="Normal 120 3" xfId="616"/>
    <cellStyle name="Normal 121" xfId="617"/>
    <cellStyle name="Normal 121 2" xfId="618"/>
    <cellStyle name="Normal 121 3" xfId="619"/>
    <cellStyle name="Normal 122" xfId="620"/>
    <cellStyle name="Normal 122 2" xfId="621"/>
    <cellStyle name="Normal 122 3" xfId="622"/>
    <cellStyle name="Normal 123" xfId="623"/>
    <cellStyle name="Normal 123 2" xfId="624"/>
    <cellStyle name="Normal 123 3" xfId="625"/>
    <cellStyle name="Normal 124" xfId="626"/>
    <cellStyle name="Normal 124 2" xfId="627"/>
    <cellStyle name="Normal 124 3" xfId="628"/>
    <cellStyle name="Normal 125" xfId="629"/>
    <cellStyle name="Normal 125 2" xfId="630"/>
    <cellStyle name="Normal 125 3" xfId="631"/>
    <cellStyle name="Normal 126" xfId="632"/>
    <cellStyle name="Normal 126 2" xfId="633"/>
    <cellStyle name="Normal 126 3" xfId="634"/>
    <cellStyle name="Normal 127" xfId="635"/>
    <cellStyle name="Normal 127 2" xfId="636"/>
    <cellStyle name="Normal 127 3" xfId="637"/>
    <cellStyle name="Normal 128" xfId="638"/>
    <cellStyle name="Normal 128 2" xfId="639"/>
    <cellStyle name="Normal 128 3" xfId="640"/>
    <cellStyle name="Normal 129" xfId="641"/>
    <cellStyle name="Normal 129 2" xfId="642"/>
    <cellStyle name="Normal 129 3" xfId="643"/>
    <cellStyle name="Normal 13" xfId="111"/>
    <cellStyle name="Normal 13 2" xfId="312"/>
    <cellStyle name="Normal 13 2 2" xfId="644"/>
    <cellStyle name="Normal 13 2 3" xfId="645"/>
    <cellStyle name="Normal 13 3" xfId="313"/>
    <cellStyle name="Normal 13 4" xfId="646"/>
    <cellStyle name="Normal 13 5" xfId="1112"/>
    <cellStyle name="Normal 130" xfId="647"/>
    <cellStyle name="Normal 130 2" xfId="648"/>
    <cellStyle name="Normal 130 3" xfId="649"/>
    <cellStyle name="Normal 131" xfId="650"/>
    <cellStyle name="Normal 131 2" xfId="651"/>
    <cellStyle name="Normal 131 3" xfId="652"/>
    <cellStyle name="Normal 132" xfId="653"/>
    <cellStyle name="Normal 132 2" xfId="654"/>
    <cellStyle name="Normal 132 3" xfId="655"/>
    <cellStyle name="Normal 133" xfId="656"/>
    <cellStyle name="Normal 133 2" xfId="657"/>
    <cellStyle name="Normal 133 3" xfId="658"/>
    <cellStyle name="Normal 134" xfId="659"/>
    <cellStyle name="Normal 134 2" xfId="660"/>
    <cellStyle name="Normal 134 3" xfId="661"/>
    <cellStyle name="Normal 135" xfId="662"/>
    <cellStyle name="Normal 136" xfId="663"/>
    <cellStyle name="Normal 137" xfId="664"/>
    <cellStyle name="Normal 138" xfId="665"/>
    <cellStyle name="Normal 139" xfId="666"/>
    <cellStyle name="Normal 14" xfId="112"/>
    <cellStyle name="Normal 14 2" xfId="314"/>
    <cellStyle name="Normal 14 2 2" xfId="667"/>
    <cellStyle name="Normal 14 2 3" xfId="668"/>
    <cellStyle name="Normal 14 3" xfId="315"/>
    <cellStyle name="Normal 14 3 2" xfId="669"/>
    <cellStyle name="Normal 14 3 3" xfId="670"/>
    <cellStyle name="Normal 14 4" xfId="671"/>
    <cellStyle name="Normal 140" xfId="672"/>
    <cellStyle name="Normal 141" xfId="673"/>
    <cellStyle name="Normal 142" xfId="674"/>
    <cellStyle name="Normal 143" xfId="675"/>
    <cellStyle name="Normal 144" xfId="676"/>
    <cellStyle name="Normal 145" xfId="677"/>
    <cellStyle name="Normal 146" xfId="678"/>
    <cellStyle name="Normal 147" xfId="679"/>
    <cellStyle name="Normal 148" xfId="680"/>
    <cellStyle name="Normal 149" xfId="681"/>
    <cellStyle name="Normal 15" xfId="113"/>
    <cellStyle name="Normal 15 2" xfId="682"/>
    <cellStyle name="Normal 15 3" xfId="683"/>
    <cellStyle name="Normal 150" xfId="684"/>
    <cellStyle name="Normal 151" xfId="685"/>
    <cellStyle name="Normal 152" xfId="686"/>
    <cellStyle name="Normal 153" xfId="687"/>
    <cellStyle name="Normal 154" xfId="688"/>
    <cellStyle name="Normal 155" xfId="689"/>
    <cellStyle name="Normal 156" xfId="690"/>
    <cellStyle name="Normal 157" xfId="691"/>
    <cellStyle name="Normal 158" xfId="692"/>
    <cellStyle name="Normal 159" xfId="693"/>
    <cellStyle name="Normal 16" xfId="114"/>
    <cellStyle name="Normal 16 2" xfId="694"/>
    <cellStyle name="Normal 16 3" xfId="695"/>
    <cellStyle name="Normal 16 4" xfId="696"/>
    <cellStyle name="Normal 160" xfId="697"/>
    <cellStyle name="Normal 161" xfId="698"/>
    <cellStyle name="Normal 162" xfId="699"/>
    <cellStyle name="Normal 163" xfId="700"/>
    <cellStyle name="Normal 164" xfId="701"/>
    <cellStyle name="Normal 165" xfId="702"/>
    <cellStyle name="Normal 166" xfId="703"/>
    <cellStyle name="Normal 167" xfId="704"/>
    <cellStyle name="Normal 168" xfId="705"/>
    <cellStyle name="Normal 169" xfId="706"/>
    <cellStyle name="Normal 17" xfId="115"/>
    <cellStyle name="Normal 17 2" xfId="707"/>
    <cellStyle name="Normal 17 3" xfId="708"/>
    <cellStyle name="Normal 170" xfId="709"/>
    <cellStyle name="Normal 171" xfId="710"/>
    <cellStyle name="Normal 172" xfId="711"/>
    <cellStyle name="Normal 173" xfId="712"/>
    <cellStyle name="Normal 174" xfId="713"/>
    <cellStyle name="Normal 175" xfId="714"/>
    <cellStyle name="Normal 176" xfId="715"/>
    <cellStyle name="Normal 177" xfId="716"/>
    <cellStyle name="Normal 178" xfId="717"/>
    <cellStyle name="Normal 179" xfId="718"/>
    <cellStyle name="Normal 18" xfId="116"/>
    <cellStyle name="Normal 18 2" xfId="719"/>
    <cellStyle name="Normal 18 2 2" xfId="720"/>
    <cellStyle name="Normal 18 3" xfId="721"/>
    <cellStyle name="Normal 18 4" xfId="722"/>
    <cellStyle name="Normal 180" xfId="723"/>
    <cellStyle name="Normal 181" xfId="724"/>
    <cellStyle name="Normal 182" xfId="725"/>
    <cellStyle name="Normal 183" xfId="726"/>
    <cellStyle name="Normal 184" xfId="727"/>
    <cellStyle name="Normal 185" xfId="728"/>
    <cellStyle name="Normal 186" xfId="729"/>
    <cellStyle name="Normal 187" xfId="730"/>
    <cellStyle name="Normal 188" xfId="731"/>
    <cellStyle name="Normal 189" xfId="732"/>
    <cellStyle name="Normal 19" xfId="117"/>
    <cellStyle name="Normal 19 2" xfId="733"/>
    <cellStyle name="Normal 19 3" xfId="734"/>
    <cellStyle name="Normal 190" xfId="735"/>
    <cellStyle name="Normal 191" xfId="736"/>
    <cellStyle name="Normal 192" xfId="737"/>
    <cellStyle name="Normal 193" xfId="738"/>
    <cellStyle name="Normal 194" xfId="739"/>
    <cellStyle name="Normal 195" xfId="740"/>
    <cellStyle name="Normal 196" xfId="741"/>
    <cellStyle name="Normal 197" xfId="742"/>
    <cellStyle name="Normal 198" xfId="743"/>
    <cellStyle name="Normal 199" xfId="744"/>
    <cellStyle name="Normal 2" xfId="2"/>
    <cellStyle name="Normal 2 2" xfId="119"/>
    <cellStyle name="Normal 2 2 2" xfId="120"/>
    <cellStyle name="Normal 2 2 2 2" xfId="231"/>
    <cellStyle name="Normal 2 2 3" xfId="232"/>
    <cellStyle name="Normal 2 2 3 2" xfId="745"/>
    <cellStyle name="Normal 2 2 3 3" xfId="746"/>
    <cellStyle name="Normal 2 2 4" xfId="233"/>
    <cellStyle name="Normal 2 2 5" xfId="188"/>
    <cellStyle name="Normal 2 2 6" xfId="747"/>
    <cellStyle name="Normal 2 3" xfId="121"/>
    <cellStyle name="Normal 2 3 2" xfId="234"/>
    <cellStyle name="Normal 2 4" xfId="118"/>
    <cellStyle name="Normal 2 5" xfId="316"/>
    <cellStyle name="Normal 2 6" xfId="317"/>
    <cellStyle name="Normal 2 7" xfId="748"/>
    <cellStyle name="Normal 2 8" xfId="1113"/>
    <cellStyle name="Normal 20" xfId="122"/>
    <cellStyle name="Normal 20 2" xfId="749"/>
    <cellStyle name="Normal 20 3" xfId="750"/>
    <cellStyle name="Normal 200" xfId="751"/>
    <cellStyle name="Normal 201" xfId="752"/>
    <cellStyle name="Normal 202" xfId="753"/>
    <cellStyle name="Normal 203" xfId="754"/>
    <cellStyle name="Normal 204" xfId="755"/>
    <cellStyle name="Normal 205" xfId="756"/>
    <cellStyle name="Normal 206" xfId="757"/>
    <cellStyle name="Normal 207" xfId="758"/>
    <cellStyle name="Normal 208" xfId="759"/>
    <cellStyle name="Normal 209" xfId="760"/>
    <cellStyle name="Normal 21" xfId="177"/>
    <cellStyle name="Normal 21 2" xfId="761"/>
    <cellStyle name="Normal 21 3" xfId="762"/>
    <cellStyle name="Normal 210" xfId="763"/>
    <cellStyle name="Normal 211" xfId="764"/>
    <cellStyle name="Normal 212" xfId="765"/>
    <cellStyle name="Normal 213" xfId="766"/>
    <cellStyle name="Normal 214" xfId="767"/>
    <cellStyle name="Normal 215" xfId="768"/>
    <cellStyle name="Normal 216" xfId="769"/>
    <cellStyle name="Normal 217" xfId="770"/>
    <cellStyle name="Normal 218" xfId="771"/>
    <cellStyle name="Normal 219" xfId="772"/>
    <cellStyle name="Normal 22" xfId="223"/>
    <cellStyle name="Normal 22 2" xfId="773"/>
    <cellStyle name="Normal 22 3" xfId="774"/>
    <cellStyle name="Normal 220" xfId="775"/>
    <cellStyle name="Normal 221" xfId="776"/>
    <cellStyle name="Normal 222" xfId="777"/>
    <cellStyle name="Normal 223" xfId="778"/>
    <cellStyle name="Normal 224" xfId="779"/>
    <cellStyle name="Normal 225" xfId="780"/>
    <cellStyle name="Normal 226" xfId="781"/>
    <cellStyle name="Normal 227" xfId="782"/>
    <cellStyle name="Normal 228" xfId="783"/>
    <cellStyle name="Normal 229" xfId="784"/>
    <cellStyle name="Normal 229 2" xfId="785"/>
    <cellStyle name="Normal 229 3" xfId="1013"/>
    <cellStyle name="Normal 23" xfId="242"/>
    <cellStyle name="Normal 230" xfId="786"/>
    <cellStyle name="Normal 230 2" xfId="787"/>
    <cellStyle name="Normal 230 3" xfId="1014"/>
    <cellStyle name="Normal 231" xfId="788"/>
    <cellStyle name="Normal 231 2" xfId="789"/>
    <cellStyle name="Normal 231 3" xfId="1015"/>
    <cellStyle name="Normal 232" xfId="790"/>
    <cellStyle name="Normal 232 2" xfId="791"/>
    <cellStyle name="Normal 232 3" xfId="1016"/>
    <cellStyle name="Normal 233" xfId="792"/>
    <cellStyle name="Normal 233 2" xfId="793"/>
    <cellStyle name="Normal 233 3" xfId="1017"/>
    <cellStyle name="Normal 234" xfId="794"/>
    <cellStyle name="Normal 234 2" xfId="795"/>
    <cellStyle name="Normal 234 3" xfId="1018"/>
    <cellStyle name="Normal 235" xfId="796"/>
    <cellStyle name="Normal 235 2" xfId="797"/>
    <cellStyle name="Normal 235 3" xfId="1019"/>
    <cellStyle name="Normal 236" xfId="798"/>
    <cellStyle name="Normal 236 2" xfId="1020"/>
    <cellStyle name="Normal 236 3" xfId="1021"/>
    <cellStyle name="Normal 237" xfId="799"/>
    <cellStyle name="Normal 237 2" xfId="1022"/>
    <cellStyle name="Normal 237 3" xfId="1023"/>
    <cellStyle name="Normal 238" xfId="800"/>
    <cellStyle name="Normal 239" xfId="801"/>
    <cellStyle name="Normal 24" xfId="243"/>
    <cellStyle name="Normal 240" xfId="802"/>
    <cellStyle name="Normal 241" xfId="803"/>
    <cellStyle name="Normal 242" xfId="804"/>
    <cellStyle name="Normal 243" xfId="805"/>
    <cellStyle name="Normal 244" xfId="806"/>
    <cellStyle name="Normal 245" xfId="807"/>
    <cellStyle name="Normal 246" xfId="1005"/>
    <cellStyle name="Normal 246 2" xfId="1024"/>
    <cellStyle name="Normal 246 3" xfId="1025"/>
    <cellStyle name="Normal 247" xfId="369"/>
    <cellStyle name="Normal 247 2" xfId="1026"/>
    <cellStyle name="Normal 247 3" xfId="1027"/>
    <cellStyle name="Normal 247 4" xfId="1028"/>
    <cellStyle name="Normal 248" xfId="1004"/>
    <cellStyle name="Normal 248 2" xfId="1029"/>
    <cellStyle name="Normal 248 3" xfId="1030"/>
    <cellStyle name="Normal 248 4" xfId="1031"/>
    <cellStyle name="Normal 249" xfId="1032"/>
    <cellStyle name="Normal 25" xfId="244"/>
    <cellStyle name="Normal 250" xfId="1033"/>
    <cellStyle name="Normal 250 2" xfId="1034"/>
    <cellStyle name="Normal 250 3" xfId="1114"/>
    <cellStyle name="Normal 251" xfId="1035"/>
    <cellStyle name="Normal 251 2" xfId="1036"/>
    <cellStyle name="Normal 251 3" xfId="1115"/>
    <cellStyle name="Normal 252" xfId="1037"/>
    <cellStyle name="Normal 252 2" xfId="1038"/>
    <cellStyle name="Normal 252 3" xfId="1116"/>
    <cellStyle name="Normal 253" xfId="1039"/>
    <cellStyle name="Normal 254" xfId="1040"/>
    <cellStyle name="Normal 254 2" xfId="1041"/>
    <cellStyle name="Normal 254 2 2" xfId="1117"/>
    <cellStyle name="Normal 255" xfId="1042"/>
    <cellStyle name="Normal 255 2" xfId="1043"/>
    <cellStyle name="Normal 255 2 2" xfId="1118"/>
    <cellStyle name="Normal 256" xfId="1044"/>
    <cellStyle name="Normal 256 2" xfId="1045"/>
    <cellStyle name="Normal 256 2 2" xfId="1119"/>
    <cellStyle name="Normal 257" xfId="1046"/>
    <cellStyle name="Normal 257 2" xfId="1047"/>
    <cellStyle name="Normal 257 2 2" xfId="1120"/>
    <cellStyle name="Normal 258" xfId="1048"/>
    <cellStyle name="Normal 258 2" xfId="1049"/>
    <cellStyle name="Normal 258 2 2" xfId="1121"/>
    <cellStyle name="Normal 259" xfId="1050"/>
    <cellStyle name="Normal 26" xfId="248"/>
    <cellStyle name="Normal 260" xfId="1051"/>
    <cellStyle name="Normal 261" xfId="1052"/>
    <cellStyle name="Normal 262" xfId="1053"/>
    <cellStyle name="Normal 263" xfId="1054"/>
    <cellStyle name="Normal 264" xfId="1055"/>
    <cellStyle name="Normal 265" xfId="1056"/>
    <cellStyle name="Normal 266" xfId="1057"/>
    <cellStyle name="Normal 267" xfId="1058"/>
    <cellStyle name="Normal 268" xfId="1008"/>
    <cellStyle name="Normal 269" xfId="1100"/>
    <cellStyle name="Normal 27" xfId="245"/>
    <cellStyle name="Normal 270" xfId="1101"/>
    <cellStyle name="Normal 270 2" xfId="1122"/>
    <cellStyle name="Normal 271" xfId="1102"/>
    <cellStyle name="Normal 272" xfId="1103"/>
    <cellStyle name="Normal 273" xfId="1104"/>
    <cellStyle name="Normal 274" xfId="1105"/>
    <cellStyle name="Normal 275" xfId="1106"/>
    <cellStyle name="Normal 275 2" xfId="1123"/>
    <cellStyle name="Normal 276" xfId="1107"/>
    <cellStyle name="Normal 276 2" xfId="1124"/>
    <cellStyle name="Normal 277" xfId="1108"/>
    <cellStyle name="Normal 277 2" xfId="1125"/>
    <cellStyle name="Normal 278" xfId="1126"/>
    <cellStyle name="Normal 279" xfId="1127"/>
    <cellStyle name="Normal 28" xfId="249"/>
    <cellStyle name="Normal 280" xfId="1128"/>
    <cellStyle name="Normal 281" xfId="1129"/>
    <cellStyle name="Normal 282" xfId="1130"/>
    <cellStyle name="Normal 283" xfId="1109"/>
    <cellStyle name="Normal 29" xfId="246"/>
    <cellStyle name="Normal 3" xfId="123"/>
    <cellStyle name="Normal 3 2" xfId="124"/>
    <cellStyle name="Normal 3 2 2" xfId="235"/>
    <cellStyle name="Normal 3 2 2 2" xfId="808"/>
    <cellStyle name="Normal 3 2 2 3" xfId="809"/>
    <cellStyle name="Normal 3 3" xfId="318"/>
    <cellStyle name="Normal 3 3 2" xfId="810"/>
    <cellStyle name="Normal 3 3 2 2" xfId="811"/>
    <cellStyle name="Normal 3 3 3" xfId="812"/>
    <cellStyle name="Normal 3 3 4" xfId="813"/>
    <cellStyle name="Normal 3 4" xfId="814"/>
    <cellStyle name="Normal 30" xfId="247"/>
    <cellStyle name="Normal 31" xfId="251"/>
    <cellStyle name="Normal 32" xfId="252"/>
    <cellStyle name="Normal 33" xfId="250"/>
    <cellStyle name="Normal 34" xfId="253"/>
    <cellStyle name="Normal 35" xfId="254"/>
    <cellStyle name="Normal 36" xfId="255"/>
    <cellStyle name="Normal 37" xfId="257"/>
    <cellStyle name="Normal 38" xfId="256"/>
    <cellStyle name="Normal 39" xfId="258"/>
    <cellStyle name="Normal 4" xfId="125"/>
    <cellStyle name="Normal 4 2" xfId="126"/>
    <cellStyle name="Normal 4 2 2" xfId="815"/>
    <cellStyle name="Normal 4 3" xfId="224"/>
    <cellStyle name="Normal 4 3 2" xfId="816"/>
    <cellStyle name="Normal 4 3 3" xfId="817"/>
    <cellStyle name="Normal 4 4" xfId="185"/>
    <cellStyle name="Normal 4 4 2" xfId="818"/>
    <cellStyle name="Normal 4 4 2 2" xfId="819"/>
    <cellStyle name="Normal 4 4 3" xfId="820"/>
    <cellStyle name="Normal 4 4 4" xfId="821"/>
    <cellStyle name="Normal 4 5" xfId="822"/>
    <cellStyle name="Normal 4 6" xfId="823"/>
    <cellStyle name="Normal 40" xfId="259"/>
    <cellStyle name="Normal 41" xfId="261"/>
    <cellStyle name="Normal 42" xfId="262"/>
    <cellStyle name="Normal 43" xfId="219"/>
    <cellStyle name="Normal 44" xfId="222"/>
    <cellStyle name="Normal 45" xfId="265"/>
    <cellStyle name="Normal 45 2" xfId="320"/>
    <cellStyle name="Normal 45 3" xfId="321"/>
    <cellStyle name="Normal 45 4" xfId="319"/>
    <cellStyle name="Normal 46" xfId="214"/>
    <cellStyle name="Normal 47" xfId="269"/>
    <cellStyle name="Normal 48" xfId="181"/>
    <cellStyle name="Normal 48 2" xfId="322"/>
    <cellStyle name="Normal 48 2 2" xfId="824"/>
    <cellStyle name="Normal 48 2 2 2" xfId="1059"/>
    <cellStyle name="Normal 49" xfId="210"/>
    <cellStyle name="Normal 49 2" xfId="323"/>
    <cellStyle name="Normal 49 2 2" xfId="825"/>
    <cellStyle name="Normal 49 2 2 2" xfId="1060"/>
    <cellStyle name="Normal 5" xfId="127"/>
    <cellStyle name="Normal 5 2" xfId="128"/>
    <cellStyle name="Normal 5 2 2" xfId="826"/>
    <cellStyle name="Normal 5 3" xfId="236"/>
    <cellStyle name="Normal 50" xfId="191"/>
    <cellStyle name="Normal 51" xfId="272"/>
    <cellStyle name="Normal 51 2" xfId="324"/>
    <cellStyle name="Normal 51 2 2" xfId="828"/>
    <cellStyle name="Normal 51 2 3" xfId="829"/>
    <cellStyle name="Normal 51 2 4" xfId="827"/>
    <cellStyle name="Normal 52" xfId="179"/>
    <cellStyle name="Normal 52 2" xfId="325"/>
    <cellStyle name="Normal 52 2 2" xfId="831"/>
    <cellStyle name="Normal 52 2 3" xfId="832"/>
    <cellStyle name="Normal 52 2 4" xfId="830"/>
    <cellStyle name="Normal 53" xfId="212"/>
    <cellStyle name="Normal 54" xfId="220"/>
    <cellStyle name="Normal 55" xfId="263"/>
    <cellStyle name="Normal 56" xfId="215"/>
    <cellStyle name="Normal 57" xfId="276"/>
    <cellStyle name="Normal 57 2" xfId="834"/>
    <cellStyle name="Normal 57 3" xfId="835"/>
    <cellStyle name="Normal 57 4" xfId="833"/>
    <cellStyle name="Normal 58" xfId="277"/>
    <cellStyle name="Normal 59" xfId="278"/>
    <cellStyle name="Normal 6" xfId="129"/>
    <cellStyle name="Normal 6 2" xfId="238"/>
    <cellStyle name="Normal 6 3" xfId="239"/>
    <cellStyle name="Normal 6 4" xfId="237"/>
    <cellStyle name="Normal 60" xfId="199"/>
    <cellStyle name="Normal 61" xfId="202"/>
    <cellStyle name="Normal 62" xfId="275"/>
    <cellStyle name="Normal 63" xfId="201"/>
    <cellStyle name="Normal 64" xfId="186"/>
    <cellStyle name="Normal 65" xfId="190"/>
    <cellStyle name="Normal 66" xfId="268"/>
    <cellStyle name="Normal 67" xfId="204"/>
    <cellStyle name="Normal 68" xfId="274"/>
    <cellStyle name="Normal 69" xfId="198"/>
    <cellStyle name="Normal 7" xfId="3"/>
    <cellStyle name="Normal 7 2" xfId="130"/>
    <cellStyle name="Normal 7 2 2" xfId="836"/>
    <cellStyle name="Normal 7 2 3" xfId="837"/>
    <cellStyle name="Normal 7 3" xfId="326"/>
    <cellStyle name="Normal 7 3 2" xfId="838"/>
    <cellStyle name="Normal 7 3 3" xfId="839"/>
    <cellStyle name="Normal 7 3 3 2" xfId="840"/>
    <cellStyle name="Normal 7 3 4" xfId="841"/>
    <cellStyle name="Normal 7 3 5" xfId="842"/>
    <cellStyle name="Normal 7 4" xfId="843"/>
    <cellStyle name="Normal 7 4 2" xfId="844"/>
    <cellStyle name="Normal 7 4 2 2" xfId="845"/>
    <cellStyle name="Normal 7 5" xfId="846"/>
    <cellStyle name="Normal 7 6" xfId="847"/>
    <cellStyle name="Normal 70" xfId="273"/>
    <cellStyle name="Normal 71" xfId="197"/>
    <cellStyle name="Normal 72" xfId="203"/>
    <cellStyle name="Normal 73" xfId="189"/>
    <cellStyle name="Normal 73 2" xfId="849"/>
    <cellStyle name="Normal 73 2 2" xfId="850"/>
    <cellStyle name="Normal 73 2 3" xfId="851"/>
    <cellStyle name="Normal 73 3" xfId="848"/>
    <cellStyle name="Normal 74" xfId="184"/>
    <cellStyle name="Normal 74 2" xfId="853"/>
    <cellStyle name="Normal 74 2 2" xfId="854"/>
    <cellStyle name="Normal 74 2 3" xfId="855"/>
    <cellStyle name="Normal 74 3" xfId="852"/>
    <cellStyle name="Normal 75" xfId="193"/>
    <cellStyle name="Normal 75 2" xfId="857"/>
    <cellStyle name="Normal 75 2 2" xfId="858"/>
    <cellStyle name="Normal 75 2 3" xfId="859"/>
    <cellStyle name="Normal 75 3" xfId="856"/>
    <cellStyle name="Normal 76" xfId="271"/>
    <cellStyle name="Normal 76 2" xfId="861"/>
    <cellStyle name="Normal 76 2 2" xfId="862"/>
    <cellStyle name="Normal 76 2 3" xfId="863"/>
    <cellStyle name="Normal 76 3" xfId="860"/>
    <cellStyle name="Normal 77" xfId="279"/>
    <cellStyle name="Normal 77 2" xfId="865"/>
    <cellStyle name="Normal 77 2 2" xfId="866"/>
    <cellStyle name="Normal 77 2 3" xfId="867"/>
    <cellStyle name="Normal 77 3" xfId="864"/>
    <cellStyle name="Normal 78" xfId="211"/>
    <cellStyle name="Normal 78 2" xfId="869"/>
    <cellStyle name="Normal 78 2 2" xfId="870"/>
    <cellStyle name="Normal 78 2 3" xfId="871"/>
    <cellStyle name="Normal 78 3" xfId="868"/>
    <cellStyle name="Normal 79" xfId="213"/>
    <cellStyle name="Normal 79 2" xfId="873"/>
    <cellStyle name="Normal 79 2 2" xfId="874"/>
    <cellStyle name="Normal 79 2 3" xfId="875"/>
    <cellStyle name="Normal 79 3" xfId="872"/>
    <cellStyle name="Normal 8" xfId="131"/>
    <cellStyle name="Normal 8 2" xfId="240"/>
    <cellStyle name="Normal 8 2 2" xfId="876"/>
    <cellStyle name="Normal 8 2 3" xfId="877"/>
    <cellStyle name="Normal 8 3" xfId="878"/>
    <cellStyle name="Normal 8 4" xfId="879"/>
    <cellStyle name="Normal 8 5" xfId="880"/>
    <cellStyle name="Normal 8 5 2" xfId="881"/>
    <cellStyle name="Normal 8 5 3" xfId="882"/>
    <cellStyle name="Normal 8 6" xfId="883"/>
    <cellStyle name="Normal 8 6 2" xfId="884"/>
    <cellStyle name="Normal 8 6 2 2" xfId="885"/>
    <cellStyle name="Normal 8 7" xfId="886"/>
    <cellStyle name="Normal 8 7 2" xfId="887"/>
    <cellStyle name="Normal 8 7 2 2" xfId="888"/>
    <cellStyle name="Normal 8 8" xfId="889"/>
    <cellStyle name="Normal 80" xfId="192"/>
    <cellStyle name="Normal 80 2" xfId="891"/>
    <cellStyle name="Normal 80 2 2" xfId="892"/>
    <cellStyle name="Normal 80 2 3" xfId="893"/>
    <cellStyle name="Normal 80 3" xfId="890"/>
    <cellStyle name="Normal 81" xfId="209"/>
    <cellStyle name="Normal 81 2" xfId="895"/>
    <cellStyle name="Normal 81 2 2" xfId="896"/>
    <cellStyle name="Normal 81 2 3" xfId="897"/>
    <cellStyle name="Normal 81 3" xfId="894"/>
    <cellStyle name="Normal 82" xfId="178"/>
    <cellStyle name="Normal 82 2" xfId="899"/>
    <cellStyle name="Normal 82 2 2" xfId="900"/>
    <cellStyle name="Normal 82 2 3" xfId="901"/>
    <cellStyle name="Normal 82 3" xfId="898"/>
    <cellStyle name="Normal 83" xfId="170"/>
    <cellStyle name="Normal 83 2" xfId="285"/>
    <cellStyle name="Normal 84" xfId="176"/>
    <cellStyle name="Normal 84 2" xfId="286"/>
    <cellStyle name="Normal 85" xfId="171"/>
    <cellStyle name="Normal 85 2" xfId="287"/>
    <cellStyle name="Normal 86" xfId="173"/>
    <cellStyle name="Normal 86 2" xfId="288"/>
    <cellStyle name="Normal 87" xfId="280"/>
    <cellStyle name="Normal 87 2" xfId="289"/>
    <cellStyle name="Normal 88" xfId="174"/>
    <cellStyle name="Normal 88 2" xfId="290"/>
    <cellStyle name="Normal 89" xfId="281"/>
    <cellStyle name="Normal 89 2" xfId="291"/>
    <cellStyle name="Normal 9" xfId="132"/>
    <cellStyle name="Normal 9 2" xfId="902"/>
    <cellStyle name="Normal 9 3" xfId="903"/>
    <cellStyle name="Normal 9 4" xfId="904"/>
    <cellStyle name="Normal 9 4 2" xfId="905"/>
    <cellStyle name="Normal 9 4 2 2" xfId="906"/>
    <cellStyle name="Normal 9 5" xfId="907"/>
    <cellStyle name="Normal 90" xfId="175"/>
    <cellStyle name="Normal 90 2" xfId="292"/>
    <cellStyle name="Normal 90 3" xfId="908"/>
    <cellStyle name="Normal 91" xfId="172"/>
    <cellStyle name="Normal 91 2" xfId="293"/>
    <cellStyle name="Normal 91 3" xfId="909"/>
    <cellStyle name="Normal 92" xfId="294"/>
    <cellStyle name="Normal 92 2" xfId="910"/>
    <cellStyle name="Normal 92 3" xfId="911"/>
    <cellStyle name="Normal 93" xfId="295"/>
    <cellStyle name="Normal 93 2" xfId="913"/>
    <cellStyle name="Normal 93 2 2" xfId="914"/>
    <cellStyle name="Normal 93 2 3" xfId="915"/>
    <cellStyle name="Normal 93 3" xfId="916"/>
    <cellStyle name="Normal 93 4" xfId="912"/>
    <cellStyle name="Normal 94" xfId="296"/>
    <cellStyle name="Normal 94 2" xfId="918"/>
    <cellStyle name="Normal 94 2 2" xfId="919"/>
    <cellStyle name="Normal 94 2 3" xfId="920"/>
    <cellStyle name="Normal 94 3" xfId="921"/>
    <cellStyle name="Normal 94 4" xfId="917"/>
    <cellStyle name="Normal 95" xfId="297"/>
    <cellStyle name="Normal 95 2" xfId="923"/>
    <cellStyle name="Normal 95 2 2" xfId="924"/>
    <cellStyle name="Normal 95 2 3" xfId="925"/>
    <cellStyle name="Normal 95 3" xfId="926"/>
    <cellStyle name="Normal 95 4" xfId="927"/>
    <cellStyle name="Normal 95 5" xfId="922"/>
    <cellStyle name="Normal 96" xfId="298"/>
    <cellStyle name="Normal 96 2" xfId="928"/>
    <cellStyle name="Normal 96 3" xfId="929"/>
    <cellStyle name="Normal 96 4" xfId="930"/>
    <cellStyle name="Normal 96 5" xfId="1061"/>
    <cellStyle name="Normal 97" xfId="299"/>
    <cellStyle name="Normal 98" xfId="300"/>
    <cellStyle name="Normal 99" xfId="301"/>
    <cellStyle name="Note 2" xfId="133"/>
    <cellStyle name="Note 2 2" xfId="931"/>
    <cellStyle name="Note 2 3" xfId="932"/>
    <cellStyle name="Note 3" xfId="134"/>
    <cellStyle name="Note 4" xfId="135"/>
    <cellStyle name="Note 5" xfId="136"/>
    <cellStyle name="Output" xfId="338" builtinId="21" customBuiltin="1"/>
    <cellStyle name="Output 2" xfId="933"/>
    <cellStyle name="Percent [2]" xfId="137"/>
    <cellStyle name="Percent [2] 2" xfId="138"/>
    <cellStyle name="Percent [2] 3" xfId="139"/>
    <cellStyle name="Percent [2] 4" xfId="140"/>
    <cellStyle name="Percent [2] 5" xfId="141"/>
    <cellStyle name="Percent 10" xfId="206"/>
    <cellStyle name="Percent 10 2" xfId="935"/>
    <cellStyle name="Percent 10 2 2" xfId="936"/>
    <cellStyle name="Percent 10 2 3" xfId="937"/>
    <cellStyle name="Percent 10 2 4" xfId="938"/>
    <cellStyle name="Percent 10 3" xfId="939"/>
    <cellStyle name="Percent 11" xfId="266"/>
    <cellStyle name="Percent 11 2" xfId="940"/>
    <cellStyle name="Percent 11 2 2" xfId="941"/>
    <cellStyle name="Percent 11 2 3" xfId="942"/>
    <cellStyle name="Percent 11 2 4" xfId="943"/>
    <cellStyle name="Percent 11 3" xfId="944"/>
    <cellStyle name="Percent 12" xfId="183"/>
    <cellStyle name="Percent 12 2" xfId="946"/>
    <cellStyle name="Percent 12 3" xfId="945"/>
    <cellStyle name="Percent 13" xfId="207"/>
    <cellStyle name="Percent 13 2" xfId="948"/>
    <cellStyle name="Percent 13 3" xfId="947"/>
    <cellStyle name="Percent 14" xfId="195"/>
    <cellStyle name="Percent 15" xfId="205"/>
    <cellStyle name="Percent 16" xfId="196"/>
    <cellStyle name="Percent 17" xfId="267"/>
    <cellStyle name="Percent 17 2" xfId="949"/>
    <cellStyle name="Percent 17 3" xfId="950"/>
    <cellStyle name="Percent 17 4" xfId="1062"/>
    <cellStyle name="Percent 18" xfId="182"/>
    <cellStyle name="Percent 18 2" xfId="951"/>
    <cellStyle name="Percent 18 3" xfId="952"/>
    <cellStyle name="Percent 18 4" xfId="1063"/>
    <cellStyle name="Percent 19" xfId="208"/>
    <cellStyle name="Percent 19 2" xfId="953"/>
    <cellStyle name="Percent 19 3" xfId="954"/>
    <cellStyle name="Percent 19 4" xfId="1064"/>
    <cellStyle name="Percent 2" xfId="142"/>
    <cellStyle name="Percent 2 2" xfId="143"/>
    <cellStyle name="Percent 2 3" xfId="144"/>
    <cellStyle name="Percent 2 4" xfId="145"/>
    <cellStyle name="Percent 2 5" xfId="146"/>
    <cellStyle name="Percent 2 6" xfId="147"/>
    <cellStyle name="Percent 2 6 2" xfId="955"/>
    <cellStyle name="Percent 20" xfId="194"/>
    <cellStyle name="Percent 20 2" xfId="956"/>
    <cellStyle name="Percent 20 3" xfId="957"/>
    <cellStyle name="Percent 20 4" xfId="1065"/>
    <cellStyle name="Percent 21" xfId="270"/>
    <cellStyle name="Percent 21 2" xfId="958"/>
    <cellStyle name="Percent 21 3" xfId="959"/>
    <cellStyle name="Percent 22" xfId="180"/>
    <cellStyle name="Percent 22 2" xfId="960"/>
    <cellStyle name="Percent 22 3" xfId="961"/>
    <cellStyle name="Percent 23" xfId="962"/>
    <cellStyle name="Percent 24" xfId="963"/>
    <cellStyle name="Percent 25" xfId="964"/>
    <cellStyle name="Percent 26" xfId="965"/>
    <cellStyle name="Percent 27" xfId="966"/>
    <cellStyle name="Percent 27 2" xfId="967"/>
    <cellStyle name="Percent 27 3" xfId="1066"/>
    <cellStyle name="Percent 28" xfId="968"/>
    <cellStyle name="Percent 28 2" xfId="969"/>
    <cellStyle name="Percent 28 3" xfId="1067"/>
    <cellStyle name="Percent 29" xfId="970"/>
    <cellStyle name="Percent 29 2" xfId="971"/>
    <cellStyle name="Percent 29 3" xfId="1068"/>
    <cellStyle name="Percent 3" xfId="148"/>
    <cellStyle name="Percent 3 2" xfId="149"/>
    <cellStyle name="Percent 30" xfId="972"/>
    <cellStyle name="Percent 30 2" xfId="973"/>
    <cellStyle name="Percent 30 3" xfId="1069"/>
    <cellStyle name="Percent 31" xfId="974"/>
    <cellStyle name="Percent 31 2" xfId="1070"/>
    <cellStyle name="Percent 31 3" xfId="1071"/>
    <cellStyle name="Percent 32" xfId="975"/>
    <cellStyle name="Percent 32 2" xfId="1072"/>
    <cellStyle name="Percent 32 3" xfId="1073"/>
    <cellStyle name="Percent 33" xfId="976"/>
    <cellStyle name="Percent 34" xfId="977"/>
    <cellStyle name="Percent 35" xfId="978"/>
    <cellStyle name="Percent 36" xfId="979"/>
    <cellStyle name="Percent 37" xfId="980"/>
    <cellStyle name="Percent 38" xfId="981"/>
    <cellStyle name="Percent 39" xfId="982"/>
    <cellStyle name="Percent 4" xfId="150"/>
    <cellStyle name="Percent 4 2" xfId="241"/>
    <cellStyle name="Percent 4 2 2" xfId="983"/>
    <cellStyle name="Percent 4 2 3" xfId="984"/>
    <cellStyle name="Percent 40" xfId="985"/>
    <cellStyle name="Percent 41" xfId="986"/>
    <cellStyle name="Percent 42" xfId="987"/>
    <cellStyle name="Percent 43" xfId="988"/>
    <cellStyle name="Percent 44" xfId="934"/>
    <cellStyle name="Percent 45" xfId="1007"/>
    <cellStyle name="Percent 46" xfId="1074"/>
    <cellStyle name="Percent 47" xfId="1075"/>
    <cellStyle name="Percent 48" xfId="1076"/>
    <cellStyle name="Percent 48 2" xfId="1077"/>
    <cellStyle name="Percent 48 3" xfId="1132"/>
    <cellStyle name="Percent 49" xfId="1078"/>
    <cellStyle name="Percent 49 2" xfId="1079"/>
    <cellStyle name="Percent 49 3" xfId="1133"/>
    <cellStyle name="Percent 5" xfId="151"/>
    <cellStyle name="Percent 50" xfId="1080"/>
    <cellStyle name="Percent 51" xfId="1081"/>
    <cellStyle name="Percent 51 2" xfId="1082"/>
    <cellStyle name="Percent 51 2 2" xfId="1134"/>
    <cellStyle name="Percent 52" xfId="1083"/>
    <cellStyle name="Percent 52 2" xfId="1084"/>
    <cellStyle name="Percent 52 2 2" xfId="1135"/>
    <cellStyle name="Percent 53" xfId="1085"/>
    <cellStyle name="Percent 53 2" xfId="1086"/>
    <cellStyle name="Percent 53 2 2" xfId="1136"/>
    <cellStyle name="Percent 54" xfId="1087"/>
    <cellStyle name="Percent 54 2" xfId="1088"/>
    <cellStyle name="Percent 54 2 2" xfId="1137"/>
    <cellStyle name="Percent 55" xfId="1089"/>
    <cellStyle name="Percent 55 2" xfId="1090"/>
    <cellStyle name="Percent 55 2 2" xfId="1138"/>
    <cellStyle name="Percent 56" xfId="1091"/>
    <cellStyle name="Percent 57" xfId="1092"/>
    <cellStyle name="Percent 58" xfId="1093"/>
    <cellStyle name="Percent 59" xfId="1094"/>
    <cellStyle name="Percent 6" xfId="217"/>
    <cellStyle name="Percent 6 2" xfId="327"/>
    <cellStyle name="Percent 6 2 2" xfId="989"/>
    <cellStyle name="Percent 6 2 2 2" xfId="1095"/>
    <cellStyle name="Percent 60" xfId="1096"/>
    <cellStyle name="Percent 61" xfId="1097"/>
    <cellStyle name="Percent 62" xfId="1098"/>
    <cellStyle name="Percent 63" xfId="1139"/>
    <cellStyle name="Percent 64" xfId="1140"/>
    <cellStyle name="Percent 65" xfId="1141"/>
    <cellStyle name="Percent 66" xfId="1142"/>
    <cellStyle name="Percent 67" xfId="1143"/>
    <cellStyle name="Percent 68" xfId="1144"/>
    <cellStyle name="Percent 69" xfId="1145"/>
    <cellStyle name="Percent 7" xfId="221"/>
    <cellStyle name="Percent 7 2" xfId="328"/>
    <cellStyle name="Percent 7 2 2" xfId="990"/>
    <cellStyle name="Percent 7 2 2 2" xfId="1099"/>
    <cellStyle name="Percent 70" xfId="1146"/>
    <cellStyle name="Percent 71" xfId="1147"/>
    <cellStyle name="Percent 72" xfId="1131"/>
    <cellStyle name="Percent 8" xfId="264"/>
    <cellStyle name="Percent 8 2" xfId="991"/>
    <cellStyle name="Percent 8 2 2" xfId="992"/>
    <cellStyle name="Percent 8 2 3" xfId="993"/>
    <cellStyle name="Percent 8 2 4" xfId="994"/>
    <cellStyle name="Percent 8 3" xfId="995"/>
    <cellStyle name="Percent 9" xfId="187"/>
    <cellStyle name="Percent 9 2" xfId="996"/>
    <cellStyle name="Percent 9 2 2" xfId="997"/>
    <cellStyle name="Percent 9 2 3" xfId="998"/>
    <cellStyle name="Percent 9 2 4" xfId="999"/>
    <cellStyle name="Percent 9 3" xfId="1000"/>
    <cellStyle name="percentage difference one decimal" xfId="152"/>
    <cellStyle name="percentage difference zero decimal" xfId="153"/>
    <cellStyle name="Presentation" xfId="154"/>
    <cellStyle name="Separador de milhares 4 2" xfId="260"/>
    <cellStyle name="Text" xfId="155"/>
    <cellStyle name="Text 2" xfId="156"/>
    <cellStyle name="Text 3" xfId="157"/>
    <cellStyle name="Text 4" xfId="158"/>
    <cellStyle name="Text 5" xfId="159"/>
    <cellStyle name="Title" xfId="329" builtinId="15" customBuiltin="1"/>
    <cellStyle name="Title 2" xfId="1001"/>
    <cellStyle name="Total" xfId="344" builtinId="25" customBuiltin="1"/>
    <cellStyle name="Total 2" xfId="1002"/>
    <cellStyle name="Warning Text" xfId="342" builtinId="11" customBuiltin="1"/>
    <cellStyle name="Warning Text 2" xfId="1003"/>
    <cellStyle name="ДАТА" xfId="160"/>
    <cellStyle name="ДЕНЕЖНЫЙ_BOPENGC" xfId="161"/>
    <cellStyle name="ЗАГОЛОВОК1" xfId="162"/>
    <cellStyle name="ЗАГОЛОВОК2" xfId="163"/>
    <cellStyle name="ИТОГОВЫЙ" xfId="164"/>
    <cellStyle name="Обычный_BOPENGC" xfId="165"/>
    <cellStyle name="ПРОЦЕНТНЫЙ_BOPENGC" xfId="166"/>
    <cellStyle name="ТЕКСТ" xfId="167"/>
    <cellStyle name="ФИКСИРОВАННЫЙ" xfId="168"/>
    <cellStyle name="ФИНАНСОВЫЙ_BOPENGC" xfId="16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F44"/>
  <sheetViews>
    <sheetView showGridLines="0" tabSelected="1" zoomScale="130" zoomScaleNormal="130" workbookViewId="0">
      <pane xSplit="4" ySplit="9" topLeftCell="CZ10" activePane="bottomRight" state="frozen"/>
      <selection pane="topRight" activeCell="E1" sqref="E1"/>
      <selection pane="bottomLeft" activeCell="A10" sqref="A10"/>
      <selection pane="bottomRight" activeCell="DI43" sqref="DI43"/>
    </sheetView>
  </sheetViews>
  <sheetFormatPr defaultRowHeight="15" x14ac:dyDescent="0.25"/>
  <cols>
    <col min="1" max="1" width="1.5703125" customWidth="1"/>
    <col min="2" max="2" width="13.5703125" customWidth="1"/>
    <col min="3" max="3" width="30.85546875" customWidth="1"/>
    <col min="4" max="4" width="8.7109375" customWidth="1"/>
    <col min="5" max="8" width="9" bestFit="1" customWidth="1"/>
    <col min="9" max="9" width="9.5703125" bestFit="1" customWidth="1"/>
    <col min="10" max="12" width="9" bestFit="1" customWidth="1"/>
    <col min="13" max="17" width="9.5703125" bestFit="1" customWidth="1"/>
    <col min="18" max="19" width="9" bestFit="1" customWidth="1"/>
    <col min="20" max="20" width="9.5703125" bestFit="1" customWidth="1"/>
    <col min="21" max="21" width="9" bestFit="1" customWidth="1"/>
    <col min="22" max="23" width="9.5703125" bestFit="1" customWidth="1"/>
    <col min="24" max="27" width="9" bestFit="1" customWidth="1"/>
    <col min="28" max="29" width="9.5703125" bestFit="1" customWidth="1"/>
    <col min="30" max="30" width="9" bestFit="1" customWidth="1"/>
    <col min="31" max="31" width="9.5703125" bestFit="1" customWidth="1"/>
    <col min="32" max="32" width="10.5703125" bestFit="1" customWidth="1"/>
    <col min="33" max="33" width="9" bestFit="1" customWidth="1"/>
    <col min="34" max="34" width="9.5703125" bestFit="1" customWidth="1"/>
    <col min="35" max="37" width="9" bestFit="1" customWidth="1"/>
    <col min="38" max="41" width="9.5703125" bestFit="1" customWidth="1"/>
    <col min="42" max="44" width="9" bestFit="1" customWidth="1"/>
    <col min="45" max="47" width="9.5703125" bestFit="1" customWidth="1"/>
    <col min="48" max="48" width="9" bestFit="1" customWidth="1"/>
    <col min="49" max="49" width="9.5703125" bestFit="1" customWidth="1"/>
    <col min="50" max="51" width="9" bestFit="1" customWidth="1"/>
    <col min="52" max="52" width="9.5703125" bestFit="1" customWidth="1"/>
    <col min="53" max="53" width="9" bestFit="1" customWidth="1"/>
    <col min="54" max="56" width="9.5703125" bestFit="1" customWidth="1"/>
    <col min="57" max="57" width="10.5703125" bestFit="1" customWidth="1"/>
    <col min="58" max="59" width="9.5703125" bestFit="1" customWidth="1"/>
    <col min="60" max="60" width="9" bestFit="1" customWidth="1"/>
    <col min="61" max="61" width="9.5703125" bestFit="1" customWidth="1"/>
    <col min="62" max="62" width="9" bestFit="1" customWidth="1"/>
    <col min="63" max="64" width="9.5703125" bestFit="1" customWidth="1"/>
    <col min="65" max="65" width="9" bestFit="1" customWidth="1"/>
    <col min="66" max="70" width="9.5703125" bestFit="1" customWidth="1"/>
    <col min="71" max="72" width="9" bestFit="1" customWidth="1"/>
    <col min="73" max="73" width="9.5703125" bestFit="1" customWidth="1"/>
    <col min="74" max="74" width="9" bestFit="1" customWidth="1"/>
    <col min="75" max="75" width="9.5703125" bestFit="1" customWidth="1"/>
    <col min="76" max="78" width="9" bestFit="1" customWidth="1"/>
    <col min="79" max="80" width="9.5703125" bestFit="1" customWidth="1"/>
    <col min="81" max="81" width="9" style="30" bestFit="1" customWidth="1"/>
    <col min="82" max="82" width="9.5703125" style="30" bestFit="1" customWidth="1"/>
    <col min="83" max="83" width="9.5703125" bestFit="1" customWidth="1"/>
    <col min="84" max="90" width="9.5703125" customWidth="1"/>
    <col min="91" max="91" width="9" bestFit="1" customWidth="1"/>
    <col min="92" max="103" width="9.5703125" customWidth="1"/>
    <col min="104" max="104" width="9.7109375" customWidth="1"/>
    <col min="105" max="106" width="9.5703125" customWidth="1"/>
    <col min="107" max="107" width="9.85546875" customWidth="1"/>
    <col min="108" max="108" width="9.42578125" customWidth="1"/>
    <col min="110" max="111" width="9.5703125" bestFit="1" customWidth="1"/>
    <col min="112" max="113" width="9.85546875" customWidth="1"/>
  </cols>
  <sheetData>
    <row r="1" spans="2:113" ht="7.5" customHeight="1" thickBot="1" x14ac:dyDescent="0.3"/>
    <row r="2" spans="2:113" x14ac:dyDescent="0.2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13" x14ac:dyDescent="0.2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BR3" s="30"/>
    </row>
    <row r="4" spans="2:113" ht="15.75" thickBot="1" x14ac:dyDescent="0.3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8"/>
    </row>
    <row r="5" spans="2:113" x14ac:dyDescent="0.2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4"/>
      <c r="AP5" s="4"/>
      <c r="AQ5" s="4"/>
      <c r="AR5" s="4"/>
      <c r="AS5" s="4"/>
      <c r="AT5" s="4"/>
      <c r="AU5" s="5"/>
      <c r="AV5" s="5"/>
      <c r="AZ5" s="30"/>
      <c r="CT5" s="68"/>
    </row>
    <row r="6" spans="2:113" x14ac:dyDescent="0.2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4"/>
      <c r="AP6" s="4"/>
      <c r="AQ6" s="4"/>
      <c r="AR6" s="4"/>
      <c r="AS6" s="4"/>
      <c r="AT6" s="4"/>
      <c r="AU6" s="5"/>
      <c r="AV6" s="5"/>
      <c r="CT6" s="68"/>
    </row>
    <row r="7" spans="2:113" ht="15.75" thickBot="1" x14ac:dyDescent="0.3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A7" s="30"/>
      <c r="CT7" s="68"/>
    </row>
    <row r="8" spans="2:113" ht="15.75" thickBot="1" x14ac:dyDescent="0.3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30"/>
      <c r="BG8" s="30"/>
      <c r="BL8" s="30"/>
      <c r="BP8" s="30"/>
      <c r="BV8" s="66"/>
    </row>
    <row r="9" spans="2:113" ht="15.75" thickBot="1" x14ac:dyDescent="0.3">
      <c r="B9" s="36" t="s">
        <v>15</v>
      </c>
      <c r="C9" s="37" t="s">
        <v>16</v>
      </c>
      <c r="D9" s="37" t="s">
        <v>17</v>
      </c>
      <c r="E9" s="38" t="s">
        <v>111</v>
      </c>
      <c r="F9" s="39" t="s">
        <v>112</v>
      </c>
      <c r="G9" s="39" t="s">
        <v>113</v>
      </c>
      <c r="H9" s="39" t="s">
        <v>114</v>
      </c>
      <c r="I9" s="39" t="s">
        <v>115</v>
      </c>
      <c r="J9" s="39" t="s">
        <v>116</v>
      </c>
      <c r="K9" s="39" t="s">
        <v>117</v>
      </c>
      <c r="L9" s="39" t="s">
        <v>118</v>
      </c>
      <c r="M9" s="39" t="s">
        <v>119</v>
      </c>
      <c r="N9" s="39" t="s">
        <v>120</v>
      </c>
      <c r="O9" s="39" t="s">
        <v>121</v>
      </c>
      <c r="P9" s="41" t="s">
        <v>122</v>
      </c>
      <c r="Q9" s="39" t="s">
        <v>99</v>
      </c>
      <c r="R9" s="39" t="s">
        <v>100</v>
      </c>
      <c r="S9" s="39" t="s">
        <v>101</v>
      </c>
      <c r="T9" s="39" t="s">
        <v>102</v>
      </c>
      <c r="U9" s="39" t="s">
        <v>103</v>
      </c>
      <c r="V9" s="39" t="s">
        <v>104</v>
      </c>
      <c r="W9" s="39" t="s">
        <v>105</v>
      </c>
      <c r="X9" s="39" t="s">
        <v>106</v>
      </c>
      <c r="Y9" s="39" t="s">
        <v>107</v>
      </c>
      <c r="Z9" s="39" t="s">
        <v>108</v>
      </c>
      <c r="AA9" s="39" t="s">
        <v>109</v>
      </c>
      <c r="AB9" s="41" t="s">
        <v>110</v>
      </c>
      <c r="AC9" s="39" t="s">
        <v>87</v>
      </c>
      <c r="AD9" s="39" t="s">
        <v>88</v>
      </c>
      <c r="AE9" s="39" t="s">
        <v>89</v>
      </c>
      <c r="AF9" s="39" t="s">
        <v>90</v>
      </c>
      <c r="AG9" s="39" t="s">
        <v>91</v>
      </c>
      <c r="AH9" s="39" t="s">
        <v>92</v>
      </c>
      <c r="AI9" s="39" t="s">
        <v>93</v>
      </c>
      <c r="AJ9" s="39" t="s">
        <v>94</v>
      </c>
      <c r="AK9" s="39" t="s">
        <v>95</v>
      </c>
      <c r="AL9" s="39" t="s">
        <v>96</v>
      </c>
      <c r="AM9" s="39" t="s">
        <v>97</v>
      </c>
      <c r="AN9" s="41" t="s">
        <v>98</v>
      </c>
      <c r="AO9" s="40" t="s">
        <v>18</v>
      </c>
      <c r="AP9" s="40" t="s">
        <v>19</v>
      </c>
      <c r="AQ9" s="40" t="s">
        <v>20</v>
      </c>
      <c r="AR9" s="40" t="s">
        <v>21</v>
      </c>
      <c r="AS9" s="40" t="s">
        <v>22</v>
      </c>
      <c r="AT9" s="40" t="s">
        <v>23</v>
      </c>
      <c r="AU9" s="40" t="s">
        <v>24</v>
      </c>
      <c r="AV9" s="40" t="s">
        <v>25</v>
      </c>
      <c r="AW9" s="40" t="s">
        <v>86</v>
      </c>
      <c r="AX9" s="40" t="s">
        <v>123</v>
      </c>
      <c r="AY9" s="40" t="s">
        <v>124</v>
      </c>
      <c r="AZ9" s="40" t="s">
        <v>125</v>
      </c>
      <c r="BA9" s="40" t="s">
        <v>126</v>
      </c>
      <c r="BB9" s="40" t="s">
        <v>127</v>
      </c>
      <c r="BC9" s="40" t="s">
        <v>128</v>
      </c>
      <c r="BD9" s="40" t="s">
        <v>129</v>
      </c>
      <c r="BE9" s="40" t="s">
        <v>130</v>
      </c>
      <c r="BF9" s="40" t="s">
        <v>131</v>
      </c>
      <c r="BG9" s="40" t="s">
        <v>132</v>
      </c>
      <c r="BH9" s="40" t="s">
        <v>133</v>
      </c>
      <c r="BI9" s="40" t="s">
        <v>134</v>
      </c>
      <c r="BJ9" s="40" t="s">
        <v>135</v>
      </c>
      <c r="BK9" s="40" t="s">
        <v>136</v>
      </c>
      <c r="BL9" s="40" t="s">
        <v>137</v>
      </c>
      <c r="BM9" s="40" t="s">
        <v>176</v>
      </c>
      <c r="BN9" s="40" t="s">
        <v>177</v>
      </c>
      <c r="BO9" s="40" t="s">
        <v>178</v>
      </c>
      <c r="BP9" s="40" t="s">
        <v>179</v>
      </c>
      <c r="BQ9" s="40" t="s">
        <v>180</v>
      </c>
      <c r="BR9" s="40" t="s">
        <v>181</v>
      </c>
      <c r="BS9" s="40" t="s">
        <v>183</v>
      </c>
      <c r="BT9" s="40" t="s">
        <v>184</v>
      </c>
      <c r="BU9" s="40" t="s">
        <v>185</v>
      </c>
      <c r="BV9" s="40" t="s">
        <v>186</v>
      </c>
      <c r="BW9" s="40" t="s">
        <v>187</v>
      </c>
      <c r="BX9" s="40" t="s">
        <v>188</v>
      </c>
      <c r="BY9" s="40" t="s">
        <v>189</v>
      </c>
      <c r="BZ9" s="39" t="s">
        <v>190</v>
      </c>
      <c r="CA9" s="39" t="s">
        <v>191</v>
      </c>
      <c r="CB9" s="39" t="s">
        <v>192</v>
      </c>
      <c r="CC9" s="39" t="s">
        <v>193</v>
      </c>
      <c r="CD9" s="39" t="s">
        <v>194</v>
      </c>
      <c r="CE9" s="39" t="s">
        <v>195</v>
      </c>
      <c r="CF9" s="39" t="s">
        <v>196</v>
      </c>
      <c r="CG9" s="39" t="s">
        <v>198</v>
      </c>
      <c r="CH9" s="39" t="s">
        <v>199</v>
      </c>
      <c r="CI9" s="39" t="s">
        <v>200</v>
      </c>
      <c r="CJ9" s="39" t="s">
        <v>201</v>
      </c>
      <c r="CK9" s="39" t="s">
        <v>202</v>
      </c>
      <c r="CL9" s="39" t="s">
        <v>203</v>
      </c>
      <c r="CM9" s="39" t="s">
        <v>204</v>
      </c>
      <c r="CN9" s="39" t="s">
        <v>205</v>
      </c>
      <c r="CO9" s="39" t="s">
        <v>206</v>
      </c>
      <c r="CP9" s="39" t="s">
        <v>207</v>
      </c>
      <c r="CQ9" s="39" t="s">
        <v>208</v>
      </c>
      <c r="CR9" s="39" t="s">
        <v>209</v>
      </c>
      <c r="CS9" s="39" t="s">
        <v>215</v>
      </c>
      <c r="CT9" s="39" t="s">
        <v>216</v>
      </c>
      <c r="CU9" s="39" t="s">
        <v>217</v>
      </c>
      <c r="CV9" s="39" t="s">
        <v>218</v>
      </c>
      <c r="CW9" s="39" t="s">
        <v>219</v>
      </c>
      <c r="CX9" s="39" t="s">
        <v>220</v>
      </c>
      <c r="CY9" s="39" t="s">
        <v>221</v>
      </c>
      <c r="CZ9" s="41" t="s">
        <v>222</v>
      </c>
      <c r="DA9" s="41" t="s">
        <v>223</v>
      </c>
      <c r="DB9" s="41" t="s">
        <v>224</v>
      </c>
      <c r="DC9" s="41" t="s">
        <v>225</v>
      </c>
      <c r="DD9" s="41" t="s">
        <v>226</v>
      </c>
      <c r="DE9" s="41" t="s">
        <v>227</v>
      </c>
      <c r="DF9" s="41" t="s">
        <v>228</v>
      </c>
      <c r="DG9" s="41" t="s">
        <v>229</v>
      </c>
      <c r="DH9" s="41" t="s">
        <v>230</v>
      </c>
      <c r="DI9" s="41" t="s">
        <v>231</v>
      </c>
    </row>
    <row r="10" spans="2:113" x14ac:dyDescent="0.25">
      <c r="B10" s="15" t="s">
        <v>26</v>
      </c>
      <c r="C10" s="16" t="s">
        <v>27</v>
      </c>
      <c r="D10" s="17" t="s">
        <v>141</v>
      </c>
      <c r="E10" s="32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2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2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2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5">
        <f t="shared" ref="BU10:CA10" si="12">SUM(BU11:BU15)</f>
        <v>67297.393585020007</v>
      </c>
      <c r="BV10" s="65">
        <f t="shared" si="12"/>
        <v>47774.059994570998</v>
      </c>
      <c r="BW10" s="65">
        <f t="shared" si="12"/>
        <v>48470.806310328342</v>
      </c>
      <c r="BX10" s="65">
        <f t="shared" si="12"/>
        <v>83967.677137674487</v>
      </c>
      <c r="BY10" s="65">
        <f t="shared" si="12"/>
        <v>46106.3456873506</v>
      </c>
      <c r="BZ10" s="65">
        <f t="shared" si="12"/>
        <v>47497.178800042893</v>
      </c>
      <c r="CA10" s="65">
        <f t="shared" si="12"/>
        <v>60246.832726209475</v>
      </c>
      <c r="CB10" s="65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5">
        <f t="shared" si="13"/>
        <v>44810.283435757803</v>
      </c>
      <c r="CF10" s="65">
        <f t="shared" si="13"/>
        <v>46198.0269611314</v>
      </c>
      <c r="CG10" s="65">
        <f t="shared" ref="CG10:CI10" si="14">SUM(CG11:CG15)</f>
        <v>64201.019033105804</v>
      </c>
      <c r="CH10" s="65">
        <f t="shared" ref="CH10" si="15">SUM(CH11:CH15)</f>
        <v>50157.230045584103</v>
      </c>
      <c r="CI10" s="65">
        <f t="shared" si="14"/>
        <v>48760.667938461411</v>
      </c>
      <c r="CJ10" s="65">
        <f t="shared" ref="CJ10:CK10" si="16">SUM(CJ11:CJ15)</f>
        <v>81684.972212933295</v>
      </c>
      <c r="CK10" s="65">
        <f t="shared" si="16"/>
        <v>36917.498891564152</v>
      </c>
      <c r="CL10" s="65">
        <f t="shared" ref="CL10:CN10" si="17">SUM(CL11:CL15)</f>
        <v>37703.08691354248</v>
      </c>
      <c r="CM10" s="65">
        <f t="shared" ref="CM10" si="18">SUM(CM11:CM15)</f>
        <v>48033.453270693804</v>
      </c>
      <c r="CN10" s="65">
        <f t="shared" si="17"/>
        <v>39090.977726535799</v>
      </c>
      <c r="CO10" s="65">
        <f t="shared" ref="CO10:CS10" si="19">SUM(CO11:CO15)</f>
        <v>38312.1350965944</v>
      </c>
      <c r="CP10" s="65">
        <f t="shared" si="19"/>
        <v>56519.855898502014</v>
      </c>
      <c r="CQ10" s="65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2">
        <f t="shared" ref="CZ10:DA10" si="24">SUM(CZ11:CZ15)</f>
        <v>50153.454418972397</v>
      </c>
      <c r="DA10" s="42">
        <f t="shared" si="24"/>
        <v>43825.794576276399</v>
      </c>
      <c r="DB10" s="42">
        <f t="shared" ref="DB10:DF10" si="25">SUM(DB11:DB15)</f>
        <v>60564.996738677262</v>
      </c>
      <c r="DC10" s="42">
        <f t="shared" si="25"/>
        <v>45124.864263779396</v>
      </c>
      <c r="DD10" s="42">
        <f t="shared" si="25"/>
        <v>52777.049439939918</v>
      </c>
      <c r="DE10" s="42">
        <f t="shared" si="25"/>
        <v>64399.313001286995</v>
      </c>
      <c r="DF10" s="42">
        <f t="shared" si="25"/>
        <v>57476.614668559137</v>
      </c>
      <c r="DG10" s="42">
        <f t="shared" ref="DG10:DH10" si="26">SUM(DG11:DG15)</f>
        <v>56213.514790243418</v>
      </c>
      <c r="DH10" s="42">
        <f t="shared" si="26"/>
        <v>114311.05560060896</v>
      </c>
      <c r="DI10" s="42">
        <f t="shared" ref="DI10" si="27">SUM(DI11:DI15)</f>
        <v>50679.906333758096</v>
      </c>
    </row>
    <row r="11" spans="2:113" x14ac:dyDescent="0.25">
      <c r="B11" s="19" t="s">
        <v>28</v>
      </c>
      <c r="C11" s="20" t="s">
        <v>29</v>
      </c>
      <c r="D11" s="17" t="s">
        <v>142</v>
      </c>
      <c r="E11" s="33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3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3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3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3">
        <v>45365.460508130003</v>
      </c>
      <c r="DA11" s="43">
        <v>41366.240303400002</v>
      </c>
      <c r="DB11" s="43">
        <v>50873.103409351999</v>
      </c>
      <c r="DC11" s="43">
        <v>42457.994374709997</v>
      </c>
      <c r="DD11" s="43">
        <v>47364.874960939997</v>
      </c>
      <c r="DE11" s="43">
        <v>57327.813456839998</v>
      </c>
      <c r="DF11" s="43">
        <v>51995.518936916138</v>
      </c>
      <c r="DG11" s="43">
        <v>51934.524483919515</v>
      </c>
      <c r="DH11" s="43">
        <v>96380.867428499987</v>
      </c>
      <c r="DI11" s="43">
        <v>48445.2776935</v>
      </c>
    </row>
    <row r="12" spans="2:113" x14ac:dyDescent="0.25">
      <c r="B12" s="19" t="s">
        <v>30</v>
      </c>
      <c r="C12" s="20" t="s">
        <v>31</v>
      </c>
      <c r="D12" s="17" t="s">
        <v>143</v>
      </c>
      <c r="E12" s="33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3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3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3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3">
        <v>2251.1401546299999</v>
      </c>
      <c r="DA12" s="43">
        <v>2284.8924129359998</v>
      </c>
      <c r="DB12" s="43">
        <v>9584.5568729979295</v>
      </c>
      <c r="DC12" s="43">
        <v>2304.7384711320001</v>
      </c>
      <c r="DD12" s="43">
        <v>2763.5004534863197</v>
      </c>
      <c r="DE12" s="43">
        <v>5970.2024634500003</v>
      </c>
      <c r="DF12" s="43">
        <v>4163.2366305019996</v>
      </c>
      <c r="DG12" s="43">
        <v>3992.0938109899998</v>
      </c>
      <c r="DH12" s="43">
        <v>16754.377602583754</v>
      </c>
      <c r="DI12" s="43">
        <v>1807.0550088699999</v>
      </c>
    </row>
    <row r="13" spans="2:113" x14ac:dyDescent="0.25">
      <c r="B13" s="19" t="s">
        <v>32</v>
      </c>
      <c r="C13" s="20" t="s">
        <v>33</v>
      </c>
      <c r="D13" s="17" t="s">
        <v>144</v>
      </c>
      <c r="E13" s="33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3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3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3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182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3">
        <v>0</v>
      </c>
      <c r="DA13" s="43">
        <v>0</v>
      </c>
      <c r="DB13" s="43">
        <v>0</v>
      </c>
      <c r="DC13" s="43">
        <v>0</v>
      </c>
      <c r="DD13" s="43">
        <v>2155.4310162800002</v>
      </c>
      <c r="DE13" s="43">
        <v>0</v>
      </c>
      <c r="DF13" s="43">
        <v>102.39607839999999</v>
      </c>
      <c r="DG13" s="43">
        <v>0</v>
      </c>
      <c r="DH13" s="43">
        <v>203.83785977762301</v>
      </c>
      <c r="DI13" s="43">
        <v>103.10823963999999</v>
      </c>
    </row>
    <row r="14" spans="2:113" x14ac:dyDescent="0.25">
      <c r="B14" s="19" t="s">
        <v>34</v>
      </c>
      <c r="C14" s="20" t="s">
        <v>35</v>
      </c>
      <c r="D14" s="17" t="s">
        <v>145</v>
      </c>
      <c r="E14" s="33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3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3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3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3">
        <v>0</v>
      </c>
      <c r="DA14" s="43">
        <v>48.115673469999997</v>
      </c>
      <c r="DB14" s="43">
        <v>49.452526943632499</v>
      </c>
      <c r="DC14" s="43">
        <v>0</v>
      </c>
      <c r="DD14" s="43">
        <v>0</v>
      </c>
      <c r="DE14" s="43">
        <v>0</v>
      </c>
      <c r="DF14" s="43">
        <v>32.621965000000003</v>
      </c>
      <c r="DG14" s="43">
        <v>0</v>
      </c>
      <c r="DH14" s="43">
        <v>0</v>
      </c>
      <c r="DI14" s="43">
        <v>0</v>
      </c>
    </row>
    <row r="15" spans="2:113" x14ac:dyDescent="0.25">
      <c r="B15" s="19" t="s">
        <v>36</v>
      </c>
      <c r="C15" s="20" t="s">
        <v>37</v>
      </c>
      <c r="D15" s="17" t="s">
        <v>146</v>
      </c>
      <c r="E15" s="33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3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3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3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3">
        <v>2536.8537562124002</v>
      </c>
      <c r="DA15" s="43">
        <v>126.5461864704</v>
      </c>
      <c r="DB15" s="43">
        <v>57.8839293837</v>
      </c>
      <c r="DC15" s="43">
        <v>362.13141793739999</v>
      </c>
      <c r="DD15" s="43">
        <v>493.24300923359931</v>
      </c>
      <c r="DE15" s="43">
        <v>1101.297080997</v>
      </c>
      <c r="DF15" s="43">
        <v>1182.841057741</v>
      </c>
      <c r="DG15" s="43">
        <v>286.89649533389996</v>
      </c>
      <c r="DH15" s="43">
        <v>971.97270974759999</v>
      </c>
      <c r="DI15" s="43">
        <v>324.46539174809999</v>
      </c>
    </row>
    <row r="16" spans="2:113" x14ac:dyDescent="0.25">
      <c r="B16" s="15" t="s">
        <v>38</v>
      </c>
      <c r="C16" s="16" t="s">
        <v>39</v>
      </c>
      <c r="D16" s="17" t="s">
        <v>147</v>
      </c>
      <c r="E16" s="32">
        <f>+E17+E25</f>
        <v>28502.799999999999</v>
      </c>
      <c r="F16" s="18">
        <f t="shared" ref="F16:P16" si="28">+F17+F25</f>
        <v>31442.7</v>
      </c>
      <c r="G16" s="18">
        <f t="shared" si="28"/>
        <v>32919.499999999993</v>
      </c>
      <c r="H16" s="18">
        <f t="shared" si="28"/>
        <v>31541.9</v>
      </c>
      <c r="I16" s="18">
        <f t="shared" si="28"/>
        <v>38334.400000000001</v>
      </c>
      <c r="J16" s="18">
        <f t="shared" si="28"/>
        <v>28396.7</v>
      </c>
      <c r="K16" s="18">
        <f t="shared" si="28"/>
        <v>35922.399999999994</v>
      </c>
      <c r="L16" s="18">
        <f t="shared" si="28"/>
        <v>31313.200000000001</v>
      </c>
      <c r="M16" s="18">
        <f t="shared" si="28"/>
        <v>35861.4</v>
      </c>
      <c r="N16" s="18">
        <f t="shared" si="28"/>
        <v>33824</v>
      </c>
      <c r="O16" s="18">
        <f t="shared" si="28"/>
        <v>32939.4</v>
      </c>
      <c r="P16" s="42">
        <f t="shared" si="28"/>
        <v>34243.300000000003</v>
      </c>
      <c r="Q16" s="18">
        <f>+Q17+Q25</f>
        <v>33883.700000000004</v>
      </c>
      <c r="R16" s="18">
        <f t="shared" ref="R16:AB16" si="29">+R17+R25</f>
        <v>32798.800000000003</v>
      </c>
      <c r="S16" s="18">
        <f t="shared" si="29"/>
        <v>34886.400000000001</v>
      </c>
      <c r="T16" s="18">
        <f t="shared" si="29"/>
        <v>35083.799999999996</v>
      </c>
      <c r="U16" s="18">
        <f t="shared" si="29"/>
        <v>38143.299999999996</v>
      </c>
      <c r="V16" s="18">
        <f t="shared" si="29"/>
        <v>29137.199999999997</v>
      </c>
      <c r="W16" s="18">
        <f t="shared" si="29"/>
        <v>38121.499999999993</v>
      </c>
      <c r="X16" s="18">
        <f t="shared" si="29"/>
        <v>27795.399999999998</v>
      </c>
      <c r="Y16" s="18">
        <f t="shared" si="29"/>
        <v>42721.5</v>
      </c>
      <c r="Z16" s="18">
        <f t="shared" si="29"/>
        <v>37900.199999999997</v>
      </c>
      <c r="AA16" s="18">
        <f t="shared" si="29"/>
        <v>39517.1</v>
      </c>
      <c r="AB16" s="42">
        <f t="shared" si="29"/>
        <v>28998.199999999997</v>
      </c>
      <c r="AC16" s="18">
        <f>+AC17+AC25</f>
        <v>41561.599999999999</v>
      </c>
      <c r="AD16" s="18">
        <f t="shared" ref="AD16:AN16" si="30">+AD17+AD25</f>
        <v>30848.699999999997</v>
      </c>
      <c r="AE16" s="18">
        <f t="shared" si="30"/>
        <v>41129.699999999997</v>
      </c>
      <c r="AF16" s="18">
        <f t="shared" si="30"/>
        <v>40505.700000000004</v>
      </c>
      <c r="AG16" s="18">
        <f t="shared" si="30"/>
        <v>40294.6</v>
      </c>
      <c r="AH16" s="18">
        <f t="shared" si="30"/>
        <v>32170.200000000004</v>
      </c>
      <c r="AI16" s="18">
        <f t="shared" si="30"/>
        <v>37650.700000000004</v>
      </c>
      <c r="AJ16" s="18">
        <f t="shared" si="30"/>
        <v>36466.100000000006</v>
      </c>
      <c r="AK16" s="18">
        <f t="shared" si="30"/>
        <v>42974.100000000006</v>
      </c>
      <c r="AL16" s="18">
        <f t="shared" si="30"/>
        <v>45642.299999999996</v>
      </c>
      <c r="AM16" s="18">
        <f t="shared" si="30"/>
        <v>36469.300000000003</v>
      </c>
      <c r="AN16" s="42">
        <f t="shared" si="30"/>
        <v>35006.699999999997</v>
      </c>
      <c r="AO16" s="18">
        <f>+AO17+AO25</f>
        <v>43249.789000000004</v>
      </c>
      <c r="AP16" s="18">
        <f t="shared" ref="AP16:AV16" si="31">+AP17+AP25</f>
        <v>30888.980000000003</v>
      </c>
      <c r="AQ16" s="18">
        <f t="shared" si="31"/>
        <v>48528.197</v>
      </c>
      <c r="AR16" s="18">
        <f t="shared" si="31"/>
        <v>45010.995999999999</v>
      </c>
      <c r="AS16" s="18">
        <f t="shared" si="31"/>
        <v>42238.986967190001</v>
      </c>
      <c r="AT16" s="18">
        <f t="shared" si="31"/>
        <v>43345.689999999995</v>
      </c>
      <c r="AU16" s="18">
        <f t="shared" si="31"/>
        <v>40641.034</v>
      </c>
      <c r="AV16" s="18">
        <f t="shared" si="31"/>
        <v>37576.299999999996</v>
      </c>
      <c r="AW16" s="18">
        <f t="shared" ref="AW16:AX16" si="32">+AW17+AW25</f>
        <v>44049.1</v>
      </c>
      <c r="AX16" s="18">
        <f t="shared" si="32"/>
        <v>45169.214999999997</v>
      </c>
      <c r="AY16" s="18">
        <f t="shared" ref="AY16:AZ16" si="33">+AY17+AY25</f>
        <v>44505.949000000001</v>
      </c>
      <c r="AZ16" s="18">
        <f t="shared" si="33"/>
        <v>38151.612999999998</v>
      </c>
      <c r="BA16" s="18">
        <f t="shared" ref="BA16:BB16" si="34">+BA17+BA25</f>
        <v>40354.54569662</v>
      </c>
      <c r="BB16" s="18">
        <f t="shared" si="34"/>
        <v>40019.713055890003</v>
      </c>
      <c r="BC16" s="18">
        <f t="shared" ref="BC16" si="35">+BC17+BC25</f>
        <v>43868.509807030001</v>
      </c>
      <c r="BD16" s="18">
        <f t="shared" ref="BD16:BI16" si="36">+BD17+BD25</f>
        <v>47950.177044719996</v>
      </c>
      <c r="BE16" s="18">
        <f t="shared" si="36"/>
        <v>46710.68807797</v>
      </c>
      <c r="BF16" s="18">
        <f t="shared" si="36"/>
        <v>49673.832636700005</v>
      </c>
      <c r="BG16" s="18">
        <f t="shared" si="36"/>
        <v>46786.698699679997</v>
      </c>
      <c r="BH16" s="18">
        <f t="shared" si="36"/>
        <v>37062.365450229998</v>
      </c>
      <c r="BI16" s="18">
        <f t="shared" si="36"/>
        <v>37199.124318640002</v>
      </c>
      <c r="BJ16" s="18">
        <f t="shared" ref="BJ16:BK16" si="37">+BJ17+BJ25</f>
        <v>48880.320179679999</v>
      </c>
      <c r="BK16" s="18">
        <f t="shared" si="37"/>
        <v>46249.456295080003</v>
      </c>
      <c r="BL16" s="18">
        <f t="shared" ref="BL16:BM16" si="38">+BL17+BL25</f>
        <v>67294.717247330002</v>
      </c>
      <c r="BM16" s="18">
        <f t="shared" si="38"/>
        <v>47111.725281029998</v>
      </c>
      <c r="BN16" s="18">
        <f t="shared" ref="BN16:BO16" si="39">+BN17+BN25</f>
        <v>39074.840502689993</v>
      </c>
      <c r="BO16" s="18">
        <f t="shared" si="39"/>
        <v>47970.99059008</v>
      </c>
      <c r="BP16" s="18">
        <f t="shared" ref="BP16:BQ16" si="40">+BP17+BP25</f>
        <v>54378.200824889995</v>
      </c>
      <c r="BQ16" s="18">
        <f t="shared" si="40"/>
        <v>54741.699588639996</v>
      </c>
      <c r="BR16" s="18">
        <f t="shared" ref="BR16:BS16" si="41">+BR17+BR25</f>
        <v>41510.0394963</v>
      </c>
      <c r="BS16" s="18">
        <f t="shared" si="41"/>
        <v>52217.900695669996</v>
      </c>
      <c r="BT16" s="18">
        <f t="shared" ref="BT16:BU16" si="42">+BT17+BT25</f>
        <v>43190.583670970002</v>
      </c>
      <c r="BU16" s="18">
        <f t="shared" si="42"/>
        <v>49384.828541119998</v>
      </c>
      <c r="BV16" s="18">
        <f t="shared" ref="BV16:BW16" si="43">+BV17+BV25</f>
        <v>52668.5685944</v>
      </c>
      <c r="BW16" s="18">
        <f t="shared" si="43"/>
        <v>56847.666288629996</v>
      </c>
      <c r="BX16" s="18">
        <f t="shared" ref="BX16:BY16" si="44">+BX17+BX25</f>
        <v>65500.453284019975</v>
      </c>
      <c r="BY16" s="18">
        <f t="shared" si="44"/>
        <v>52124.308360790004</v>
      </c>
      <c r="BZ16" s="18">
        <f t="shared" ref="BZ16:CA16" si="45">+BZ17+BZ25</f>
        <v>44520.816832330005</v>
      </c>
      <c r="CA16" s="18">
        <f t="shared" si="45"/>
        <v>44385.76954193</v>
      </c>
      <c r="CB16" s="18">
        <f t="shared" ref="CB16:CD16" si="46">+CB17+CB25</f>
        <v>53723.289256819997</v>
      </c>
      <c r="CC16" s="18">
        <f t="shared" si="46"/>
        <v>58032.869354769995</v>
      </c>
      <c r="CD16" s="18">
        <f t="shared" si="46"/>
        <v>46763.922139639995</v>
      </c>
      <c r="CE16" s="18">
        <f t="shared" ref="CE16:CK16" si="47">+CE17+CE25</f>
        <v>51187.664916939961</v>
      </c>
      <c r="CF16" s="18">
        <f t="shared" si="47"/>
        <v>42787.700927830003</v>
      </c>
      <c r="CG16" s="18">
        <f t="shared" si="47"/>
        <v>51497.746780940004</v>
      </c>
      <c r="CH16" s="18">
        <f t="shared" si="47"/>
        <v>61717.024177480002</v>
      </c>
      <c r="CI16" s="18">
        <f t="shared" si="47"/>
        <v>60607.628758539991</v>
      </c>
      <c r="CJ16" s="18">
        <f t="shared" si="47"/>
        <v>63005.683735409992</v>
      </c>
      <c r="CK16" s="18">
        <f t="shared" si="47"/>
        <v>50048.210662509999</v>
      </c>
      <c r="CL16" s="18">
        <f t="shared" ref="CL16:CN16" si="48">+CL17+CL25</f>
        <v>47066.312093150496</v>
      </c>
      <c r="CM16" s="18">
        <f t="shared" ref="CM16" si="49">+CM17+CM25</f>
        <v>50966.608337939993</v>
      </c>
      <c r="CN16" s="18">
        <f t="shared" si="48"/>
        <v>64572.096976200002</v>
      </c>
      <c r="CO16" s="18">
        <f t="shared" ref="CO16:CP16" si="50">+CO17+CO25</f>
        <v>58398.857269499997</v>
      </c>
      <c r="CP16" s="18">
        <f t="shared" si="50"/>
        <v>46822.543117838999</v>
      </c>
      <c r="CQ16" s="18">
        <f t="shared" ref="CQ16:CS16" si="51">+CQ17+CQ25</f>
        <v>52920.550264570506</v>
      </c>
      <c r="CR16" s="18">
        <f t="shared" ref="CR16" si="52">+CR17+CR25</f>
        <v>45527.800673229998</v>
      </c>
      <c r="CS16" s="18">
        <f t="shared" si="51"/>
        <v>52191.962051839997</v>
      </c>
      <c r="CT16" s="18">
        <f t="shared" ref="CT16:CU16" si="53">+CT17+CT25</f>
        <v>56700.501936710003</v>
      </c>
      <c r="CU16" s="18">
        <f t="shared" si="53"/>
        <v>51299.425098759959</v>
      </c>
      <c r="CV16" s="18">
        <f t="shared" ref="CV16:CW16" si="54">+CV17+CV25</f>
        <v>59396.458880099795</v>
      </c>
      <c r="CW16" s="18">
        <f t="shared" si="54"/>
        <v>63699.653079910007</v>
      </c>
      <c r="CX16" s="18">
        <f t="shared" ref="CX16:CY16" si="55">+CX17+CX25</f>
        <v>50121.712657260003</v>
      </c>
      <c r="CY16" s="18">
        <f t="shared" si="55"/>
        <v>51838.970917499995</v>
      </c>
      <c r="CZ16" s="42">
        <f t="shared" ref="CZ16:DA16" si="56">+CZ17+CZ25</f>
        <v>64181.569746230001</v>
      </c>
      <c r="DA16" s="42">
        <f t="shared" si="56"/>
        <v>54336.75212813</v>
      </c>
      <c r="DB16" s="42">
        <f t="shared" ref="DB16:DF16" si="57">+DB17+DB25</f>
        <v>50287.758558779999</v>
      </c>
      <c r="DC16" s="42">
        <f t="shared" si="57"/>
        <v>59471.806342520031</v>
      </c>
      <c r="DD16" s="42">
        <f t="shared" si="57"/>
        <v>47855.992079020005</v>
      </c>
      <c r="DE16" s="42">
        <f t="shared" si="57"/>
        <v>59453.869957820003</v>
      </c>
      <c r="DF16" s="42">
        <f t="shared" si="57"/>
        <v>62205.529301769988</v>
      </c>
      <c r="DG16" s="42">
        <f t="shared" ref="DG16:DH16" si="58">+DG17+DG25</f>
        <v>61537.827571459995</v>
      </c>
      <c r="DH16" s="42">
        <f t="shared" si="58"/>
        <v>73904.035892589993</v>
      </c>
      <c r="DI16" s="42">
        <f t="shared" ref="DI16" si="59">+DI17+DI25</f>
        <v>64454.540681520004</v>
      </c>
    </row>
    <row r="17" spans="2:113" x14ac:dyDescent="0.25">
      <c r="B17" s="19" t="s">
        <v>40</v>
      </c>
      <c r="C17" s="20" t="s">
        <v>41</v>
      </c>
      <c r="D17" s="17" t="s">
        <v>148</v>
      </c>
      <c r="E17" s="33">
        <f>E18+E19+E22</f>
        <v>26247</v>
      </c>
      <c r="F17" s="21">
        <f t="shared" ref="F17:P17" si="60">F18+F19+F22</f>
        <v>28054.400000000001</v>
      </c>
      <c r="G17" s="21">
        <f t="shared" si="60"/>
        <v>29952.799999999996</v>
      </c>
      <c r="H17" s="21">
        <f t="shared" si="60"/>
        <v>28855.4</v>
      </c>
      <c r="I17" s="21">
        <f t="shared" si="60"/>
        <v>33076</v>
      </c>
      <c r="J17" s="21">
        <f t="shared" si="60"/>
        <v>27256</v>
      </c>
      <c r="K17" s="21">
        <f t="shared" si="60"/>
        <v>34105.799999999996</v>
      </c>
      <c r="L17" s="21">
        <f t="shared" si="60"/>
        <v>28811</v>
      </c>
      <c r="M17" s="21">
        <f t="shared" si="60"/>
        <v>33894.400000000001</v>
      </c>
      <c r="N17" s="21">
        <f t="shared" si="60"/>
        <v>28841.4</v>
      </c>
      <c r="O17" s="21">
        <f t="shared" si="60"/>
        <v>30813.3</v>
      </c>
      <c r="P17" s="43">
        <f t="shared" si="60"/>
        <v>28345.300000000003</v>
      </c>
      <c r="Q17" s="21">
        <f>Q18+Q19+Q22</f>
        <v>30755.9</v>
      </c>
      <c r="R17" s="21">
        <f t="shared" ref="R17:AB17" si="61">R18+R19+R22</f>
        <v>31377.4</v>
      </c>
      <c r="S17" s="21">
        <f t="shared" si="61"/>
        <v>33491.4</v>
      </c>
      <c r="T17" s="21">
        <f t="shared" si="61"/>
        <v>33224.799999999996</v>
      </c>
      <c r="U17" s="21">
        <f t="shared" si="61"/>
        <v>36492.199999999997</v>
      </c>
      <c r="V17" s="21">
        <f t="shared" si="61"/>
        <v>28558.499999999996</v>
      </c>
      <c r="W17" s="21">
        <f t="shared" si="61"/>
        <v>32530.799999999996</v>
      </c>
      <c r="X17" s="21">
        <f t="shared" si="61"/>
        <v>26800.199999999997</v>
      </c>
      <c r="Y17" s="21">
        <f t="shared" si="61"/>
        <v>41052.699999999997</v>
      </c>
      <c r="Z17" s="21">
        <f t="shared" si="61"/>
        <v>37459.5</v>
      </c>
      <c r="AA17" s="21">
        <f t="shared" si="61"/>
        <v>35535.799999999996</v>
      </c>
      <c r="AB17" s="43">
        <f t="shared" si="61"/>
        <v>28688.699999999997</v>
      </c>
      <c r="AC17" s="21">
        <f>AC18+AC19+AC22</f>
        <v>33820.6</v>
      </c>
      <c r="AD17" s="21">
        <f t="shared" ref="AD17:AN17" si="62">AD18+AD19+AD22</f>
        <v>30563.1</v>
      </c>
      <c r="AE17" s="21">
        <f t="shared" si="62"/>
        <v>39950</v>
      </c>
      <c r="AF17" s="21">
        <f t="shared" si="62"/>
        <v>40195.800000000003</v>
      </c>
      <c r="AG17" s="21">
        <f t="shared" si="62"/>
        <v>37712.400000000001</v>
      </c>
      <c r="AH17" s="21">
        <f t="shared" si="62"/>
        <v>31539.500000000004</v>
      </c>
      <c r="AI17" s="21">
        <f t="shared" si="62"/>
        <v>32025.9</v>
      </c>
      <c r="AJ17" s="21">
        <f t="shared" si="62"/>
        <v>34101.300000000003</v>
      </c>
      <c r="AK17" s="21">
        <f t="shared" si="62"/>
        <v>37675.600000000006</v>
      </c>
      <c r="AL17" s="21">
        <f t="shared" si="62"/>
        <v>45153.399999999994</v>
      </c>
      <c r="AM17" s="21">
        <f t="shared" si="62"/>
        <v>34172.300000000003</v>
      </c>
      <c r="AN17" s="43">
        <f t="shared" si="62"/>
        <v>31062.399999999998</v>
      </c>
      <c r="AO17" s="21">
        <f>AO18+AO19+AO22</f>
        <v>42064.58</v>
      </c>
      <c r="AP17" s="21">
        <f t="shared" ref="AP17:AV17" si="63">AP18+AP19+AP22</f>
        <v>30437.545000000002</v>
      </c>
      <c r="AQ17" s="21">
        <f t="shared" si="63"/>
        <v>40563.616999999998</v>
      </c>
      <c r="AR17" s="21">
        <f t="shared" si="63"/>
        <v>44177.320999999996</v>
      </c>
      <c r="AS17" s="21">
        <f t="shared" si="63"/>
        <v>39980.878967190001</v>
      </c>
      <c r="AT17" s="21">
        <f t="shared" si="63"/>
        <v>39344.400999999998</v>
      </c>
      <c r="AU17" s="21">
        <f t="shared" si="63"/>
        <v>37584.731</v>
      </c>
      <c r="AV17" s="21">
        <f t="shared" si="63"/>
        <v>34017.1</v>
      </c>
      <c r="AW17" s="21">
        <f t="shared" ref="AW17:AX17" si="64">AW18+AW19+AW22</f>
        <v>37482</v>
      </c>
      <c r="AX17" s="21">
        <f t="shared" si="64"/>
        <v>42511.813999999998</v>
      </c>
      <c r="AY17" s="21">
        <f t="shared" ref="AY17:AZ17" si="65">AY18+AY19+AY22</f>
        <v>39753.96</v>
      </c>
      <c r="AZ17" s="21">
        <f t="shared" si="65"/>
        <v>33482.716999999997</v>
      </c>
      <c r="BA17" s="21">
        <f t="shared" ref="BA17:BB17" si="66">BA18+BA19+BA22</f>
        <v>38983.301307250003</v>
      </c>
      <c r="BB17" s="21">
        <f t="shared" si="66"/>
        <v>39274.61235797</v>
      </c>
      <c r="BC17" s="21">
        <f t="shared" ref="BC17:BD17" si="67">BC18+BC19+BC22</f>
        <v>40779.030326159998</v>
      </c>
      <c r="BD17" s="21">
        <f t="shared" si="67"/>
        <v>43854.929124119997</v>
      </c>
      <c r="BE17" s="21">
        <f t="shared" ref="BE17:BG17" si="68">BE18+BE19+BE22</f>
        <v>42407.919253469998</v>
      </c>
      <c r="BF17" s="21">
        <f t="shared" si="68"/>
        <v>44989.829768180003</v>
      </c>
      <c r="BG17" s="21">
        <f t="shared" si="68"/>
        <v>41976.6576117</v>
      </c>
      <c r="BH17" s="21">
        <f t="shared" ref="BH17:BI17" si="69">BH18+BH19+BH22</f>
        <v>33619.181224369997</v>
      </c>
      <c r="BI17" s="21">
        <f t="shared" si="69"/>
        <v>32768.2824693</v>
      </c>
      <c r="BJ17" s="21">
        <f t="shared" ref="BJ17:BK17" si="70">BJ18+BJ19+BJ22</f>
        <v>46017.332935450002</v>
      </c>
      <c r="BK17" s="21">
        <f t="shared" si="70"/>
        <v>40956.08019293</v>
      </c>
      <c r="BL17" s="21">
        <f t="shared" ref="BL17:BM17" si="71">BL18+BL19+BL22</f>
        <v>59616.890369330009</v>
      </c>
      <c r="BM17" s="21">
        <f t="shared" si="71"/>
        <v>44496.39279962</v>
      </c>
      <c r="BN17" s="21">
        <f t="shared" ref="BN17:BO17" si="72">BN18+BN19+BN22</f>
        <v>36032.204829689996</v>
      </c>
      <c r="BO17" s="21">
        <f t="shared" si="72"/>
        <v>40771.839306230002</v>
      </c>
      <c r="BP17" s="21">
        <f t="shared" ref="BP17:BQ17" si="73">BP18+BP19+BP22</f>
        <v>49845.094987739998</v>
      </c>
      <c r="BQ17" s="21">
        <f t="shared" si="73"/>
        <v>47703.0821287</v>
      </c>
      <c r="BR17" s="21">
        <f t="shared" ref="BR17:BS17" si="74">BR18+BR19+BR22</f>
        <v>37397.944238639997</v>
      </c>
      <c r="BS17" s="21">
        <f t="shared" si="74"/>
        <v>45323.807352999997</v>
      </c>
      <c r="BT17" s="21">
        <f t="shared" ref="BT17:BU17" si="75">BT18+BT19+BT22</f>
        <v>37992.461538830001</v>
      </c>
      <c r="BU17" s="21">
        <f t="shared" si="75"/>
        <v>44612.104097559997</v>
      </c>
      <c r="BV17" s="21">
        <f t="shared" ref="BV17:BW17" si="76">BV18+BV19+BV22</f>
        <v>47465.799081810001</v>
      </c>
      <c r="BW17" s="21">
        <f t="shared" si="76"/>
        <v>51991.716190619998</v>
      </c>
      <c r="BX17" s="21">
        <f t="shared" ref="BX17:BY17" si="77">BX18+BX19+BX22</f>
        <v>54760.712480429975</v>
      </c>
      <c r="BY17" s="21">
        <f t="shared" si="77"/>
        <v>46032.641292960005</v>
      </c>
      <c r="BZ17" s="21">
        <f t="shared" ref="BZ17:CA17" si="78">BZ18+BZ19+BZ22</f>
        <v>40942.979458860005</v>
      </c>
      <c r="CA17" s="21">
        <f t="shared" si="78"/>
        <v>38979.066816229999</v>
      </c>
      <c r="CB17" s="21">
        <f t="shared" ref="CB17:CI17" si="79">CB18+CB19+CB22</f>
        <v>53197.319280259995</v>
      </c>
      <c r="CC17" s="21">
        <f t="shared" si="79"/>
        <v>50458.487963109998</v>
      </c>
      <c r="CD17" s="21">
        <f t="shared" si="79"/>
        <v>43384.711446859998</v>
      </c>
      <c r="CE17" s="21">
        <f t="shared" si="79"/>
        <v>46478.457436629964</v>
      </c>
      <c r="CF17" s="21">
        <f t="shared" ref="CF17:CH17" si="80">CF18+CF19+CF22</f>
        <v>40899.688473540002</v>
      </c>
      <c r="CG17" s="21">
        <f t="shared" si="80"/>
        <v>44437.095798370006</v>
      </c>
      <c r="CH17" s="21">
        <f t="shared" si="80"/>
        <v>55088.938403120002</v>
      </c>
      <c r="CI17" s="21">
        <f t="shared" si="79"/>
        <v>53033.225853779993</v>
      </c>
      <c r="CJ17" s="21">
        <f t="shared" ref="CJ17:CK17" si="81">CJ18+CJ19+CJ22</f>
        <v>47028.873275789992</v>
      </c>
      <c r="CK17" s="21">
        <f t="shared" si="81"/>
        <v>47377.458551060001</v>
      </c>
      <c r="CL17" s="21">
        <f t="shared" ref="CL17:CN17" si="82">CL18+CL19+CL22</f>
        <v>43485.345551170496</v>
      </c>
      <c r="CM17" s="21">
        <f t="shared" ref="CM17" si="83">CM18+CM19+CM22</f>
        <v>45108.910265639992</v>
      </c>
      <c r="CN17" s="21">
        <f t="shared" si="82"/>
        <v>61155.861099779999</v>
      </c>
      <c r="CO17" s="21">
        <f t="shared" ref="CO17:CP17" si="84">CO18+CO19+CO22</f>
        <v>53990.760687859998</v>
      </c>
      <c r="CP17" s="21">
        <f t="shared" si="84"/>
        <v>43663.028149878999</v>
      </c>
      <c r="CQ17" s="21">
        <f t="shared" ref="CQ17:CS17" si="85">CQ18+CQ19+CQ22</f>
        <v>48595.294280610506</v>
      </c>
      <c r="CR17" s="21">
        <f t="shared" ref="CR17" si="86">CR18+CR19+CR22</f>
        <v>41741.642532860002</v>
      </c>
      <c r="CS17" s="21">
        <f t="shared" si="85"/>
        <v>46966.42656932</v>
      </c>
      <c r="CT17" s="21">
        <f t="shared" ref="CT17:CU17" si="87">CT18+CT19+CT22</f>
        <v>51920.222666770002</v>
      </c>
      <c r="CU17" s="21">
        <f t="shared" si="87"/>
        <v>47977.903295849967</v>
      </c>
      <c r="CV17" s="21">
        <f t="shared" ref="CV17:CW17" si="88">CV18+CV19+CV22</f>
        <v>54744.379634859797</v>
      </c>
      <c r="CW17" s="21">
        <f t="shared" si="88"/>
        <v>55970.206672570006</v>
      </c>
      <c r="CX17" s="21">
        <f t="shared" ref="CX17:CY17" si="89">CX18+CX19+CX22</f>
        <v>45354.917444780003</v>
      </c>
      <c r="CY17" s="21">
        <f t="shared" si="89"/>
        <v>46366.389797229996</v>
      </c>
      <c r="CZ17" s="43">
        <f t="shared" ref="CZ17:DA17" si="90">CZ18+CZ19+CZ22</f>
        <v>61355.052189950002</v>
      </c>
      <c r="DA17" s="43">
        <f t="shared" si="90"/>
        <v>52672.675009469996</v>
      </c>
      <c r="DB17" s="43">
        <f t="shared" ref="DB17:DF17" si="91">DB18+DB19+DB22</f>
        <v>46992.656560479998</v>
      </c>
      <c r="DC17" s="43">
        <f t="shared" si="91"/>
        <v>55896.471201620028</v>
      </c>
      <c r="DD17" s="43">
        <f t="shared" si="91"/>
        <v>44151.926674460003</v>
      </c>
      <c r="DE17" s="43">
        <f t="shared" si="91"/>
        <v>57594.648210670006</v>
      </c>
      <c r="DF17" s="43">
        <f t="shared" si="91"/>
        <v>57701.105938279987</v>
      </c>
      <c r="DG17" s="43">
        <f t="shared" ref="DG17:DH17" si="92">DG18+DG19+DG22</f>
        <v>56855.914269939996</v>
      </c>
      <c r="DH17" s="43">
        <f t="shared" si="92"/>
        <v>67473.330839269998</v>
      </c>
      <c r="DI17" s="43">
        <f t="shared" ref="DI17" si="93">DI18+DI19+DI22</f>
        <v>60437.651394840002</v>
      </c>
    </row>
    <row r="18" spans="2:113" x14ac:dyDescent="0.25">
      <c r="B18" s="19" t="s">
        <v>42</v>
      </c>
      <c r="C18" s="22" t="s">
        <v>43</v>
      </c>
      <c r="D18" s="17" t="s">
        <v>149</v>
      </c>
      <c r="E18" s="34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4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4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4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4">
        <v>24993.70549665</v>
      </c>
      <c r="DA18" s="44">
        <v>19199.265139239993</v>
      </c>
      <c r="DB18" s="44">
        <v>17700.541750249999</v>
      </c>
      <c r="DC18" s="44">
        <v>24698.329091530031</v>
      </c>
      <c r="DD18" s="44">
        <v>17816.853653459999</v>
      </c>
      <c r="DE18" s="44">
        <v>26013.178364520005</v>
      </c>
      <c r="DF18" s="44">
        <v>20565.997377739994</v>
      </c>
      <c r="DG18" s="44">
        <v>21236.973722760002</v>
      </c>
      <c r="DH18" s="44">
        <v>34272.896523839998</v>
      </c>
      <c r="DI18" s="44">
        <v>24456.607017630002</v>
      </c>
    </row>
    <row r="19" spans="2:113" x14ac:dyDescent="0.25">
      <c r="B19" s="19" t="s">
        <v>44</v>
      </c>
      <c r="C19" s="22" t="s">
        <v>197</v>
      </c>
      <c r="D19" s="17" t="s">
        <v>150</v>
      </c>
      <c r="E19" s="33">
        <f>E20+E21</f>
        <v>12454.1</v>
      </c>
      <c r="F19" s="21">
        <f t="shared" ref="F19:P19" si="94">F20+F21</f>
        <v>15227.6</v>
      </c>
      <c r="G19" s="21">
        <f t="shared" si="94"/>
        <v>12220.8</v>
      </c>
      <c r="H19" s="21">
        <f t="shared" si="94"/>
        <v>13569.4</v>
      </c>
      <c r="I19" s="21">
        <f t="shared" si="94"/>
        <v>14518.5</v>
      </c>
      <c r="J19" s="21">
        <f t="shared" si="94"/>
        <v>12218.5</v>
      </c>
      <c r="K19" s="21">
        <f t="shared" si="94"/>
        <v>15497.3</v>
      </c>
      <c r="L19" s="21">
        <f t="shared" si="94"/>
        <v>11871</v>
      </c>
      <c r="M19" s="21">
        <f t="shared" si="94"/>
        <v>12209.5</v>
      </c>
      <c r="N19" s="21">
        <f t="shared" si="94"/>
        <v>11924.6</v>
      </c>
      <c r="O19" s="21">
        <f t="shared" si="94"/>
        <v>12079.5</v>
      </c>
      <c r="P19" s="43">
        <f t="shared" si="94"/>
        <v>12570.8</v>
      </c>
      <c r="Q19" s="21">
        <f>Q20+Q21</f>
        <v>13063.4</v>
      </c>
      <c r="R19" s="21">
        <f t="shared" ref="R19:AB19" si="95">R20+R21</f>
        <v>15642.1</v>
      </c>
      <c r="S19" s="21">
        <f t="shared" si="95"/>
        <v>12268.7</v>
      </c>
      <c r="T19" s="21">
        <f t="shared" si="95"/>
        <v>12434.8</v>
      </c>
      <c r="U19" s="21">
        <f t="shared" si="95"/>
        <v>15467.3</v>
      </c>
      <c r="V19" s="21">
        <f t="shared" si="95"/>
        <v>12979.4</v>
      </c>
      <c r="W19" s="21">
        <f t="shared" si="95"/>
        <v>12679.8</v>
      </c>
      <c r="X19" s="21">
        <f t="shared" si="95"/>
        <v>12649.3</v>
      </c>
      <c r="Y19" s="21">
        <f t="shared" si="95"/>
        <v>13694.3</v>
      </c>
      <c r="Z19" s="21">
        <f t="shared" si="95"/>
        <v>12748.5</v>
      </c>
      <c r="AA19" s="21">
        <f t="shared" si="95"/>
        <v>12305.9</v>
      </c>
      <c r="AB19" s="43">
        <f t="shared" si="95"/>
        <v>12825</v>
      </c>
      <c r="AC19" s="21">
        <f>AC20+AC21</f>
        <v>13526.3</v>
      </c>
      <c r="AD19" s="21">
        <f t="shared" ref="AD19:AN19" si="96">AD20+AD21</f>
        <v>13374.9</v>
      </c>
      <c r="AE19" s="21">
        <f t="shared" si="96"/>
        <v>13129.5</v>
      </c>
      <c r="AF19" s="21">
        <f t="shared" si="96"/>
        <v>13057.1</v>
      </c>
      <c r="AG19" s="21">
        <f t="shared" si="96"/>
        <v>14770.5</v>
      </c>
      <c r="AH19" s="21">
        <f t="shared" si="96"/>
        <v>12493.7</v>
      </c>
      <c r="AI19" s="21">
        <f t="shared" si="96"/>
        <v>15561.7</v>
      </c>
      <c r="AJ19" s="21">
        <f t="shared" si="96"/>
        <v>14926</v>
      </c>
      <c r="AK19" s="21">
        <f t="shared" si="96"/>
        <v>15787.7</v>
      </c>
      <c r="AL19" s="21">
        <f t="shared" si="96"/>
        <v>14859</v>
      </c>
      <c r="AM19" s="21">
        <f t="shared" si="96"/>
        <v>13522</v>
      </c>
      <c r="AN19" s="43">
        <f t="shared" si="96"/>
        <v>13779</v>
      </c>
      <c r="AO19" s="21">
        <f>AO20+AO21</f>
        <v>15327.093000000001</v>
      </c>
      <c r="AP19" s="21">
        <f t="shared" ref="AP19:AV19" si="97">AP20+AP21</f>
        <v>13635.03</v>
      </c>
      <c r="AQ19" s="21">
        <f t="shared" si="97"/>
        <v>14831.977999999999</v>
      </c>
      <c r="AR19" s="21">
        <f t="shared" si="97"/>
        <v>14534.328</v>
      </c>
      <c r="AS19" s="21">
        <f t="shared" si="97"/>
        <v>15713.938967190003</v>
      </c>
      <c r="AT19" s="21">
        <f t="shared" si="97"/>
        <v>14703.474</v>
      </c>
      <c r="AU19" s="21">
        <f t="shared" si="97"/>
        <v>14354.474</v>
      </c>
      <c r="AV19" s="21">
        <f t="shared" si="97"/>
        <v>14602.9</v>
      </c>
      <c r="AW19" s="21">
        <f t="shared" ref="AW19:AX19" si="98">AW20+AW21</f>
        <v>14564.2</v>
      </c>
      <c r="AX19" s="21">
        <f t="shared" si="98"/>
        <v>15460.720000000001</v>
      </c>
      <c r="AY19" s="21">
        <f t="shared" ref="AY19" si="99">AY20+AY21</f>
        <v>16180.288</v>
      </c>
      <c r="AZ19" s="21">
        <f t="shared" ref="AZ19:BE19" si="100">AZ20+AZ21</f>
        <v>15159.629999999997</v>
      </c>
      <c r="BA19" s="21">
        <f t="shared" si="100"/>
        <v>16892.188999999998</v>
      </c>
      <c r="BB19" s="21">
        <f t="shared" si="100"/>
        <v>15452.837</v>
      </c>
      <c r="BC19" s="21">
        <f t="shared" si="100"/>
        <v>16127.564</v>
      </c>
      <c r="BD19" s="21">
        <f t="shared" si="100"/>
        <v>15572.687000000002</v>
      </c>
      <c r="BE19" s="21">
        <f t="shared" si="100"/>
        <v>15204.700999999999</v>
      </c>
      <c r="BF19" s="21">
        <f t="shared" ref="BF19:BG19" si="101">BF20+BF21</f>
        <v>15292.376</v>
      </c>
      <c r="BG19" s="21">
        <f t="shared" si="101"/>
        <v>15674.034</v>
      </c>
      <c r="BH19" s="21">
        <f t="shared" ref="BH19:BI19" si="102">BH20+BH21</f>
        <v>14983.368</v>
      </c>
      <c r="BI19" s="21">
        <f t="shared" si="102"/>
        <v>15072.513999999999</v>
      </c>
      <c r="BJ19" s="21">
        <f t="shared" ref="BJ19:BK19" si="103">BJ20+BJ21</f>
        <v>15460.541999999999</v>
      </c>
      <c r="BK19" s="21">
        <f t="shared" si="103"/>
        <v>14429.108</v>
      </c>
      <c r="BL19" s="21">
        <f t="shared" ref="BL19:BM19" si="104">BL20+BL21</f>
        <v>23121.62</v>
      </c>
      <c r="BM19" s="21">
        <f t="shared" si="104"/>
        <v>17347.870000000003</v>
      </c>
      <c r="BN19" s="21">
        <f t="shared" ref="BN19:BO19" si="105">BN20+BN21</f>
        <v>17638.871371360001</v>
      </c>
      <c r="BO19" s="21">
        <f t="shared" si="105"/>
        <v>16431.534</v>
      </c>
      <c r="BP19" s="21">
        <f t="shared" ref="BP19:BQ19" si="106">BP20+BP21</f>
        <v>15857.451999999999</v>
      </c>
      <c r="BQ19" s="21">
        <f t="shared" si="106"/>
        <v>15882.151</v>
      </c>
      <c r="BR19" s="21">
        <f t="shared" ref="BR19:BS19" si="107">BR20+BR21</f>
        <v>15627.337</v>
      </c>
      <c r="BS19" s="21">
        <f t="shared" si="107"/>
        <v>14931.11</v>
      </c>
      <c r="BT19" s="21">
        <f t="shared" ref="BT19:BU19" si="108">BT20+BT21</f>
        <v>16863.736000000001</v>
      </c>
      <c r="BU19" s="21">
        <f t="shared" si="108"/>
        <v>17199.242999999999</v>
      </c>
      <c r="BV19" s="21">
        <f t="shared" ref="BV19:BW19" si="109">BV20+BV21</f>
        <v>16503.597000000002</v>
      </c>
      <c r="BW19" s="21">
        <f t="shared" si="109"/>
        <v>18447.043000000001</v>
      </c>
      <c r="BX19" s="21">
        <f t="shared" ref="BX19:BY19" si="110">BX20+BX21</f>
        <v>17395.403628639979</v>
      </c>
      <c r="BY19" s="21">
        <f t="shared" si="110"/>
        <v>18392.598000000002</v>
      </c>
      <c r="BZ19" s="21">
        <f t="shared" ref="BZ19:CA19" si="111">BZ20+BZ21</f>
        <v>18915.900000000001</v>
      </c>
      <c r="CA19" s="21">
        <f t="shared" si="111"/>
        <v>17569.684000000001</v>
      </c>
      <c r="CB19" s="21">
        <f t="shared" ref="CB19:CI19" si="112">CB20+CB21</f>
        <v>17054.399999999998</v>
      </c>
      <c r="CC19" s="21">
        <f t="shared" si="112"/>
        <v>16942.0226</v>
      </c>
      <c r="CD19" s="21">
        <f t="shared" si="112"/>
        <v>16834.294999999998</v>
      </c>
      <c r="CE19" s="21">
        <f t="shared" si="112"/>
        <v>17938.405999999959</v>
      </c>
      <c r="CF19" s="21">
        <f t="shared" ref="CF19:CH19" si="113">CF20+CF21</f>
        <v>17390.266</v>
      </c>
      <c r="CG19" s="21">
        <f t="shared" si="113"/>
        <v>17479</v>
      </c>
      <c r="CH19" s="21">
        <f t="shared" si="113"/>
        <v>17210.772000000001</v>
      </c>
      <c r="CI19" s="21">
        <f t="shared" si="112"/>
        <v>17477.849999999999</v>
      </c>
      <c r="CJ19" s="21">
        <f t="shared" ref="CJ19:CK19" si="114">CJ20+CJ21</f>
        <v>18412.393000000004</v>
      </c>
      <c r="CK19" s="21">
        <f t="shared" si="114"/>
        <v>19466.372000000003</v>
      </c>
      <c r="CL19" s="21">
        <f t="shared" ref="CL19:CN19" si="115">CL20+CL21</f>
        <v>16743.599999999999</v>
      </c>
      <c r="CM19" s="21">
        <f t="shared" ref="CM19" si="116">CM20+CM21</f>
        <v>18422.792999999998</v>
      </c>
      <c r="CN19" s="21">
        <f t="shared" si="115"/>
        <v>19043.368999999999</v>
      </c>
      <c r="CO19" s="21">
        <f t="shared" ref="CO19:CP19" si="117">CO20+CO21</f>
        <v>17999.704000000002</v>
      </c>
      <c r="CP19" s="21">
        <f t="shared" si="117"/>
        <v>18720.592000000001</v>
      </c>
      <c r="CQ19" s="21">
        <f t="shared" ref="CQ19:CS19" si="118">CQ20+CQ21</f>
        <v>18836.097000000002</v>
      </c>
      <c r="CR19" s="21">
        <f t="shared" ref="CR19" si="119">CR20+CR21</f>
        <v>18890.267</v>
      </c>
      <c r="CS19" s="21">
        <f t="shared" si="118"/>
        <v>18685.206000000002</v>
      </c>
      <c r="CT19" s="21">
        <f t="shared" ref="CT19:CU19" si="120">CT20+CT21</f>
        <v>18802.683000000001</v>
      </c>
      <c r="CU19" s="21">
        <f t="shared" si="120"/>
        <v>19034.214999999931</v>
      </c>
      <c r="CV19" s="21">
        <f t="shared" ref="CV19:CW19" si="121">CV20+CV21</f>
        <v>18351.431124718201</v>
      </c>
      <c r="CW19" s="21">
        <f t="shared" si="121"/>
        <v>21458.604000000003</v>
      </c>
      <c r="CX19" s="21">
        <f t="shared" ref="CX19:CY19" si="122">CX20+CX21</f>
        <v>19293.724000000002</v>
      </c>
      <c r="CY19" s="21">
        <f t="shared" si="122"/>
        <v>19003.213000000003</v>
      </c>
      <c r="CZ19" s="43">
        <f t="shared" ref="CZ19:DA19" si="123">CZ20+CZ21</f>
        <v>18683.603999999999</v>
      </c>
      <c r="DA19" s="43">
        <f t="shared" si="123"/>
        <v>19944.097000000002</v>
      </c>
      <c r="DB19" s="43">
        <f t="shared" ref="DB19:DF19" si="124">DB20+DB21</f>
        <v>19189.521999999997</v>
      </c>
      <c r="DC19" s="43">
        <f t="shared" si="124"/>
        <v>18958.741999999998</v>
      </c>
      <c r="DD19" s="43">
        <f t="shared" si="124"/>
        <v>19158.773000000001</v>
      </c>
      <c r="DE19" s="43">
        <f t="shared" si="124"/>
        <v>25304.444</v>
      </c>
      <c r="DF19" s="43">
        <f t="shared" si="124"/>
        <v>19394.478999999999</v>
      </c>
      <c r="DG19" s="43">
        <f t="shared" ref="DG19:DH19" si="125">DG20+DG21</f>
        <v>19532.010999999999</v>
      </c>
      <c r="DH19" s="43">
        <f t="shared" si="125"/>
        <v>21829.84</v>
      </c>
      <c r="DI19" s="43">
        <f t="shared" ref="DI19" si="126">DI20+DI21</f>
        <v>23066.492999999999</v>
      </c>
    </row>
    <row r="20" spans="2:113" x14ac:dyDescent="0.25">
      <c r="B20" s="19" t="s">
        <v>45</v>
      </c>
      <c r="C20" s="24" t="s">
        <v>46</v>
      </c>
      <c r="D20" s="17" t="s">
        <v>151</v>
      </c>
      <c r="E20" s="34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4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4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4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4">
        <v>17229.78701624</v>
      </c>
      <c r="DA20" s="44">
        <v>18486.579318470001</v>
      </c>
      <c r="DB20" s="44">
        <v>17759.237242449999</v>
      </c>
      <c r="DC20" s="44">
        <v>17578.7984744282</v>
      </c>
      <c r="DD20" s="44">
        <v>17705.896732330002</v>
      </c>
      <c r="DE20" s="44">
        <v>23749.40199274</v>
      </c>
      <c r="DF20" s="44">
        <v>17910.110967529999</v>
      </c>
      <c r="DG20" s="44">
        <v>18103.643523209998</v>
      </c>
      <c r="DH20" s="44">
        <v>20366.551913769999</v>
      </c>
      <c r="DI20" s="44">
        <v>21474.568984544498</v>
      </c>
    </row>
    <row r="21" spans="2:113" x14ac:dyDescent="0.25">
      <c r="B21" s="19" t="s">
        <v>47</v>
      </c>
      <c r="C21" s="24" t="s">
        <v>48</v>
      </c>
      <c r="D21" s="17" t="s">
        <v>152</v>
      </c>
      <c r="E21" s="3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4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4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4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4">
        <v>1453.8169837599999</v>
      </c>
      <c r="DA21" s="44">
        <v>1457.5176815300001</v>
      </c>
      <c r="DB21" s="44">
        <v>1430.28475755</v>
      </c>
      <c r="DC21" s="44">
        <v>1379.9435255717999</v>
      </c>
      <c r="DD21" s="44">
        <v>1452.8762676700001</v>
      </c>
      <c r="DE21" s="44">
        <v>1555.04200726</v>
      </c>
      <c r="DF21" s="44">
        <v>1484.3680324699999</v>
      </c>
      <c r="DG21" s="44">
        <v>1428.36747679</v>
      </c>
      <c r="DH21" s="44">
        <v>1463.2880862299999</v>
      </c>
      <c r="DI21" s="44">
        <v>1591.9240154555</v>
      </c>
    </row>
    <row r="22" spans="2:113" x14ac:dyDescent="0.25">
      <c r="B22" s="19" t="s">
        <v>49</v>
      </c>
      <c r="C22" s="22" t="s">
        <v>50</v>
      </c>
      <c r="D22" s="17" t="s">
        <v>153</v>
      </c>
      <c r="E22" s="33">
        <f>+E23+E24</f>
        <v>6618.7</v>
      </c>
      <c r="F22" s="21">
        <f t="shared" ref="F22:P22" si="127">+F23+F24</f>
        <v>5215</v>
      </c>
      <c r="G22" s="21">
        <f t="shared" si="127"/>
        <v>11305.1</v>
      </c>
      <c r="H22" s="21">
        <f t="shared" si="127"/>
        <v>7734.4</v>
      </c>
      <c r="I22" s="21">
        <f t="shared" si="127"/>
        <v>12038.9</v>
      </c>
      <c r="J22" s="21">
        <f t="shared" si="127"/>
        <v>6726.0999999999995</v>
      </c>
      <c r="K22" s="21">
        <f t="shared" si="127"/>
        <v>9962.1</v>
      </c>
      <c r="L22" s="21">
        <f t="shared" si="127"/>
        <v>7850.2999999999993</v>
      </c>
      <c r="M22" s="21">
        <f t="shared" si="127"/>
        <v>13854.6</v>
      </c>
      <c r="N22" s="21">
        <f t="shared" si="127"/>
        <v>9076.7000000000007</v>
      </c>
      <c r="O22" s="21">
        <f t="shared" si="127"/>
        <v>13181.7</v>
      </c>
      <c r="P22" s="43">
        <f t="shared" si="127"/>
        <v>6355.9</v>
      </c>
      <c r="Q22" s="21">
        <f>+Q23+Q24</f>
        <v>7874.6</v>
      </c>
      <c r="R22" s="21">
        <f t="shared" ref="R22:AB22" si="128">+R23+R24</f>
        <v>8168.9</v>
      </c>
      <c r="S22" s="21">
        <f t="shared" si="128"/>
        <v>14281.6</v>
      </c>
      <c r="T22" s="21">
        <f t="shared" si="128"/>
        <v>9917.6</v>
      </c>
      <c r="U22" s="21">
        <f t="shared" si="128"/>
        <v>12021.699999999999</v>
      </c>
      <c r="V22" s="21">
        <f t="shared" si="128"/>
        <v>7324.3</v>
      </c>
      <c r="W22" s="21">
        <f t="shared" si="128"/>
        <v>10234.599999999999</v>
      </c>
      <c r="X22" s="21">
        <f t="shared" si="128"/>
        <v>6417</v>
      </c>
      <c r="Y22" s="21">
        <f t="shared" si="128"/>
        <v>15975.2</v>
      </c>
      <c r="Z22" s="21">
        <f t="shared" si="128"/>
        <v>12828.7</v>
      </c>
      <c r="AA22" s="21">
        <f t="shared" si="128"/>
        <v>12201.6</v>
      </c>
      <c r="AB22" s="43">
        <f t="shared" si="128"/>
        <v>7266.9</v>
      </c>
      <c r="AC22" s="21">
        <f>+AC23+AC24</f>
        <v>7375.7</v>
      </c>
      <c r="AD22" s="21">
        <f t="shared" ref="AD22:AN22" si="129">+AD23+AD24</f>
        <v>6926.1</v>
      </c>
      <c r="AE22" s="21">
        <f t="shared" si="129"/>
        <v>15972.7</v>
      </c>
      <c r="AF22" s="21">
        <f t="shared" si="129"/>
        <v>14972</v>
      </c>
      <c r="AG22" s="21">
        <f t="shared" si="129"/>
        <v>11295.900000000001</v>
      </c>
      <c r="AH22" s="21">
        <f t="shared" si="129"/>
        <v>8317.2000000000007</v>
      </c>
      <c r="AI22" s="21">
        <f t="shared" si="129"/>
        <v>7013.5</v>
      </c>
      <c r="AJ22" s="21">
        <f t="shared" si="129"/>
        <v>6531.5</v>
      </c>
      <c r="AK22" s="21">
        <f t="shared" si="129"/>
        <v>12475.3</v>
      </c>
      <c r="AL22" s="21">
        <f t="shared" si="129"/>
        <v>15906.8</v>
      </c>
      <c r="AM22" s="21">
        <f t="shared" si="129"/>
        <v>11814.4</v>
      </c>
      <c r="AN22" s="43">
        <f t="shared" si="129"/>
        <v>7078.5999999999995</v>
      </c>
      <c r="AO22" s="21">
        <f>+AO23+AO24</f>
        <v>15213.782999999999</v>
      </c>
      <c r="AP22" s="21">
        <f t="shared" ref="AP22:AV22" si="130">+AP23+AP24</f>
        <v>6325.4459999999999</v>
      </c>
      <c r="AQ22" s="21">
        <f t="shared" si="130"/>
        <v>12811.07</v>
      </c>
      <c r="AR22" s="21">
        <f t="shared" si="130"/>
        <v>15956.837</v>
      </c>
      <c r="AS22" s="21">
        <f t="shared" si="130"/>
        <v>10837.037</v>
      </c>
      <c r="AT22" s="21">
        <f t="shared" si="130"/>
        <v>10364.485000000001</v>
      </c>
      <c r="AU22" s="21">
        <f t="shared" si="130"/>
        <v>12830.598999999998</v>
      </c>
      <c r="AV22" s="21">
        <f t="shared" si="130"/>
        <v>6641.5</v>
      </c>
      <c r="AW22" s="21">
        <f t="shared" ref="AW22:AX22" si="131">+AW23+AW24</f>
        <v>9296.7000000000007</v>
      </c>
      <c r="AX22" s="21">
        <f t="shared" si="131"/>
        <v>15337.464</v>
      </c>
      <c r="AY22" s="21">
        <f t="shared" ref="AY22:AZ22" si="132">+AY23+AY24</f>
        <v>12049.079</v>
      </c>
      <c r="AZ22" s="21">
        <f t="shared" si="132"/>
        <v>11692.17</v>
      </c>
      <c r="BA22" s="21">
        <f t="shared" ref="BA22:BB22" si="133">+BA23+BA24</f>
        <v>12617.06340692</v>
      </c>
      <c r="BB22" s="21">
        <f t="shared" si="133"/>
        <v>7070.5250823099996</v>
      </c>
      <c r="BC22" s="21">
        <f t="shared" ref="BC22" si="134">+BC23+BC24</f>
        <v>9350.004089779999</v>
      </c>
      <c r="BD22" s="21">
        <f t="shared" ref="BD22:BI22" si="135">+BD23+BD24</f>
        <v>15506.3001024</v>
      </c>
      <c r="BE22" s="21">
        <f t="shared" si="135"/>
        <v>13341.284906679999</v>
      </c>
      <c r="BF22" s="21">
        <f t="shared" si="135"/>
        <v>10867.09766575</v>
      </c>
      <c r="BG22" s="21">
        <f t="shared" si="135"/>
        <v>14493.79711252</v>
      </c>
      <c r="BH22" s="21">
        <f t="shared" si="135"/>
        <v>3785.2225564</v>
      </c>
      <c r="BI22" s="21">
        <f t="shared" si="135"/>
        <v>8188.8071480799999</v>
      </c>
      <c r="BJ22" s="21">
        <f t="shared" ref="BJ22:BK22" si="136">+BJ23+BJ24</f>
        <v>16685.841166859998</v>
      </c>
      <c r="BK22" s="21">
        <f t="shared" si="136"/>
        <v>13481.17304294</v>
      </c>
      <c r="BL22" s="21">
        <f t="shared" ref="BL22:BM22" si="137">+BL23+BL24</f>
        <v>9793.9019460800009</v>
      </c>
      <c r="BM22" s="21">
        <f t="shared" si="137"/>
        <v>13441.68629405</v>
      </c>
      <c r="BN22" s="21">
        <f t="shared" ref="BN22:BO22" si="138">+BN23+BN24</f>
        <v>3903.69491573</v>
      </c>
      <c r="BO22" s="21">
        <f t="shared" si="138"/>
        <v>7470.2599912500009</v>
      </c>
      <c r="BP22" s="21">
        <f t="shared" ref="BP22:BQ22" si="139">+BP23+BP24</f>
        <v>16444.12183706</v>
      </c>
      <c r="BQ22" s="21">
        <f t="shared" si="139"/>
        <v>14135.521249700001</v>
      </c>
      <c r="BR22" s="21">
        <f t="shared" ref="BR22:BS22" si="140">+BR23+BR24</f>
        <v>9003.9889237899988</v>
      </c>
      <c r="BS22" s="21">
        <f t="shared" si="140"/>
        <v>13110.143916569999</v>
      </c>
      <c r="BT22" s="21">
        <f t="shared" ref="BT22:BU22" si="141">+BT23+BT24</f>
        <v>4399.4829168300002</v>
      </c>
      <c r="BU22" s="21">
        <f t="shared" si="141"/>
        <v>6583.6752908999997</v>
      </c>
      <c r="BV22" s="21">
        <f t="shared" ref="BV22:BW22" si="142">+BV23+BV24</f>
        <v>16146.34360889</v>
      </c>
      <c r="BW22" s="21">
        <f t="shared" si="142"/>
        <v>14403.740104369999</v>
      </c>
      <c r="BX22" s="21">
        <f t="shared" ref="BX22:BY22" si="143">+BX23+BX24</f>
        <v>10145.45794765</v>
      </c>
      <c r="BY22" s="21">
        <f t="shared" si="143"/>
        <v>13178.034273320001</v>
      </c>
      <c r="BZ22" s="21">
        <f t="shared" ref="BZ22:CA22" si="144">+BZ23+BZ24</f>
        <v>5206.56383534</v>
      </c>
      <c r="CA22" s="21">
        <f t="shared" si="144"/>
        <v>6721.2639399</v>
      </c>
      <c r="CB22" s="21">
        <f t="shared" ref="CB22:CI22" si="145">+CB23+CB24</f>
        <v>16904.936724309999</v>
      </c>
      <c r="CC22" s="21">
        <f t="shared" si="145"/>
        <v>14403.05767385</v>
      </c>
      <c r="CD22" s="21">
        <f t="shared" si="145"/>
        <v>9861.4440415299996</v>
      </c>
      <c r="CE22" s="21">
        <f t="shared" si="145"/>
        <v>10913.99268275</v>
      </c>
      <c r="CF22" s="21">
        <f t="shared" ref="CF22:CH22" si="146">+CF23+CF24</f>
        <v>5452.9560430399997</v>
      </c>
      <c r="CG22" s="21">
        <f t="shared" si="146"/>
        <v>5935.7029414899998</v>
      </c>
      <c r="CH22" s="21">
        <f t="shared" si="146"/>
        <v>17073.569418210001</v>
      </c>
      <c r="CI22" s="21">
        <f t="shared" si="145"/>
        <v>14697.446833599999</v>
      </c>
      <c r="CJ22" s="21">
        <f t="shared" ref="CJ22:CK22" si="147">+CJ23+CJ24</f>
        <v>11138.361295969991</v>
      </c>
      <c r="CK22" s="21">
        <f t="shared" si="147"/>
        <v>11097.548408729999</v>
      </c>
      <c r="CL22" s="21">
        <f t="shared" ref="CL22:CN22" si="148">+CL23+CL24</f>
        <v>5716.3562415100005</v>
      </c>
      <c r="CM22" s="21">
        <f t="shared" ref="CM22" si="149">+CM23+CM24</f>
        <v>5537.0169843700005</v>
      </c>
      <c r="CN22" s="21">
        <f t="shared" si="148"/>
        <v>17782.676260380002</v>
      </c>
      <c r="CO22" s="21">
        <f t="shared" ref="CO22:CP22" si="150">+CO23+CO24</f>
        <v>14550.339263959999</v>
      </c>
      <c r="CP22" s="21">
        <f t="shared" si="150"/>
        <v>9133.6497455099998</v>
      </c>
      <c r="CQ22" s="21">
        <f t="shared" ref="CQ22:CS22" si="151">+CQ23+CQ24</f>
        <v>11893.186848429999</v>
      </c>
      <c r="CR22" s="21">
        <f t="shared" ref="CR22" si="152">+CR23+CR24</f>
        <v>6336.0943659699997</v>
      </c>
      <c r="CS22" s="21">
        <f t="shared" si="151"/>
        <v>5739.5572173300006</v>
      </c>
      <c r="CT22" s="21">
        <f t="shared" ref="CT22:CU22" si="153">+CT23+CT24</f>
        <v>16858.538850380002</v>
      </c>
      <c r="CU22" s="21">
        <f t="shared" si="153"/>
        <v>14525.12399913001</v>
      </c>
      <c r="CV22" s="21">
        <f t="shared" ref="CV22:CW22" si="154">+CV23+CV24</f>
        <v>9867.8505446099989</v>
      </c>
      <c r="CW22" s="21">
        <f t="shared" si="154"/>
        <v>11900.591064570001</v>
      </c>
      <c r="CX22" s="21">
        <f t="shared" ref="CX22:CY22" si="155">+CX23+CX24</f>
        <v>6899.1065622599999</v>
      </c>
      <c r="CY22" s="21">
        <f t="shared" si="155"/>
        <v>6047.5045456100006</v>
      </c>
      <c r="CZ22" s="43">
        <f t="shared" ref="CZ22:DA22" si="156">+CZ23+CZ24</f>
        <v>17677.742693299999</v>
      </c>
      <c r="DA22" s="43">
        <f t="shared" si="156"/>
        <v>13529.312870230002</v>
      </c>
      <c r="DB22" s="43">
        <f t="shared" ref="DB22:DF22" si="157">+DB23+DB24</f>
        <v>10102.592810229999</v>
      </c>
      <c r="DC22" s="43">
        <f t="shared" si="157"/>
        <v>12239.40011009</v>
      </c>
      <c r="DD22" s="43">
        <f t="shared" si="157"/>
        <v>7176.300021</v>
      </c>
      <c r="DE22" s="43">
        <f t="shared" si="157"/>
        <v>6277.0258461499989</v>
      </c>
      <c r="DF22" s="43">
        <f t="shared" si="157"/>
        <v>17740.629560539997</v>
      </c>
      <c r="DG22" s="43">
        <f t="shared" ref="DG22:DH22" si="158">+DG23+DG24</f>
        <v>16086.92954718</v>
      </c>
      <c r="DH22" s="43">
        <f t="shared" si="158"/>
        <v>11370.59431543</v>
      </c>
      <c r="DI22" s="43">
        <f t="shared" ref="DI22" si="159">+DI23+DI24</f>
        <v>12914.551377210002</v>
      </c>
    </row>
    <row r="23" spans="2:113" x14ac:dyDescent="0.25">
      <c r="B23" s="19" t="s">
        <v>51</v>
      </c>
      <c r="C23" s="24" t="s">
        <v>52</v>
      </c>
      <c r="D23" s="17" t="s">
        <v>154</v>
      </c>
      <c r="E23" s="34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4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4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4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4">
        <v>827.14207775</v>
      </c>
      <c r="DA23" s="44">
        <v>11332.491115710001</v>
      </c>
      <c r="DB23" s="44">
        <v>1841.32397337</v>
      </c>
      <c r="DC23" s="44">
        <v>3613.6378824800013</v>
      </c>
      <c r="DD23" s="44">
        <v>4258.4879252700002</v>
      </c>
      <c r="DE23" s="44">
        <v>5162.9902482399993</v>
      </c>
      <c r="DF23" s="44">
        <v>868.26202018999993</v>
      </c>
      <c r="DG23" s="44">
        <v>11578.49822607</v>
      </c>
      <c r="DH23" s="44">
        <v>2913.5746132399995</v>
      </c>
      <c r="DI23" s="44">
        <v>4266.9922012300003</v>
      </c>
    </row>
    <row r="24" spans="2:113" x14ac:dyDescent="0.25">
      <c r="B24" s="19" t="s">
        <v>53</v>
      </c>
      <c r="C24" s="24" t="s">
        <v>54</v>
      </c>
      <c r="D24" s="17" t="s">
        <v>155</v>
      </c>
      <c r="E24" s="34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4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4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4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4">
        <v>16850.60061555</v>
      </c>
      <c r="DA24" s="44">
        <v>2196.82175452</v>
      </c>
      <c r="DB24" s="44">
        <v>8261.2688368599993</v>
      </c>
      <c r="DC24" s="44">
        <v>8625.7622276099992</v>
      </c>
      <c r="DD24" s="44">
        <v>2917.8120957299998</v>
      </c>
      <c r="DE24" s="44">
        <v>1114.0355979099998</v>
      </c>
      <c r="DF24" s="44">
        <v>16872.367540349998</v>
      </c>
      <c r="DG24" s="44">
        <v>4508.4313211100007</v>
      </c>
      <c r="DH24" s="44">
        <v>8457.0197021900003</v>
      </c>
      <c r="DI24" s="44">
        <v>8647.5591759800009</v>
      </c>
    </row>
    <row r="25" spans="2:113" x14ac:dyDescent="0.25">
      <c r="B25" s="19" t="s">
        <v>55</v>
      </c>
      <c r="C25" s="20" t="s">
        <v>56</v>
      </c>
      <c r="D25" s="17" t="s">
        <v>156</v>
      </c>
      <c r="E25" s="33">
        <f>+E26</f>
        <v>2255.8000000000002</v>
      </c>
      <c r="F25" s="21">
        <f t="shared" ref="F25:P25" si="160">+F26</f>
        <v>3388.3</v>
      </c>
      <c r="G25" s="21">
        <f t="shared" si="160"/>
        <v>2966.7</v>
      </c>
      <c r="H25" s="21">
        <f t="shared" si="160"/>
        <v>2686.5</v>
      </c>
      <c r="I25" s="21">
        <f t="shared" si="160"/>
        <v>5258.4</v>
      </c>
      <c r="J25" s="21">
        <f t="shared" si="160"/>
        <v>1140.7</v>
      </c>
      <c r="K25" s="21">
        <f t="shared" si="160"/>
        <v>1816.6</v>
      </c>
      <c r="L25" s="21">
        <f t="shared" si="160"/>
        <v>2502.1999999999998</v>
      </c>
      <c r="M25" s="21">
        <f t="shared" si="160"/>
        <v>1967</v>
      </c>
      <c r="N25" s="21">
        <f t="shared" si="160"/>
        <v>4982.6000000000004</v>
      </c>
      <c r="O25" s="21">
        <f t="shared" si="160"/>
        <v>2126.1</v>
      </c>
      <c r="P25" s="43">
        <f t="shared" si="160"/>
        <v>5898</v>
      </c>
      <c r="Q25" s="21">
        <f>+Q26</f>
        <v>3127.8</v>
      </c>
      <c r="R25" s="21">
        <f t="shared" ref="R25:AB25" si="161">+R26</f>
        <v>1421.4</v>
      </c>
      <c r="S25" s="21">
        <f t="shared" si="161"/>
        <v>1395</v>
      </c>
      <c r="T25" s="21">
        <f t="shared" si="161"/>
        <v>1859</v>
      </c>
      <c r="U25" s="21">
        <f t="shared" si="161"/>
        <v>1651.1</v>
      </c>
      <c r="V25" s="21">
        <f t="shared" si="161"/>
        <v>578.70000000000005</v>
      </c>
      <c r="W25" s="21">
        <f t="shared" si="161"/>
        <v>5590.7</v>
      </c>
      <c r="X25" s="21">
        <f t="shared" si="161"/>
        <v>995.2</v>
      </c>
      <c r="Y25" s="21">
        <f t="shared" si="161"/>
        <v>1668.8</v>
      </c>
      <c r="Z25" s="21">
        <f t="shared" si="161"/>
        <v>440.7</v>
      </c>
      <c r="AA25" s="21">
        <f t="shared" si="161"/>
        <v>3981.3</v>
      </c>
      <c r="AB25" s="43">
        <f t="shared" si="161"/>
        <v>309.5</v>
      </c>
      <c r="AC25" s="21">
        <f>+AC26</f>
        <v>7741</v>
      </c>
      <c r="AD25" s="21">
        <f t="shared" ref="AD25:AN25" si="162">+AD26</f>
        <v>285.60000000000002</v>
      </c>
      <c r="AE25" s="21">
        <f t="shared" si="162"/>
        <v>1179.7</v>
      </c>
      <c r="AF25" s="21">
        <f t="shared" si="162"/>
        <v>309.89999999999998</v>
      </c>
      <c r="AG25" s="21">
        <f t="shared" si="162"/>
        <v>2582.1999999999998</v>
      </c>
      <c r="AH25" s="21">
        <f t="shared" si="162"/>
        <v>630.70000000000005</v>
      </c>
      <c r="AI25" s="21">
        <f t="shared" si="162"/>
        <v>5624.8</v>
      </c>
      <c r="AJ25" s="21">
        <f t="shared" si="162"/>
        <v>2364.8000000000002</v>
      </c>
      <c r="AK25" s="21">
        <f t="shared" si="162"/>
        <v>5298.5</v>
      </c>
      <c r="AL25" s="21">
        <f t="shared" si="162"/>
        <v>488.9</v>
      </c>
      <c r="AM25" s="21">
        <f t="shared" si="162"/>
        <v>2297</v>
      </c>
      <c r="AN25" s="43">
        <f t="shared" si="162"/>
        <v>3944.3</v>
      </c>
      <c r="AO25" s="21">
        <f>+AO26</f>
        <v>1185.2090000000001</v>
      </c>
      <c r="AP25" s="21">
        <f t="shared" ref="AP25:DC25" si="163">+AP26</f>
        <v>451.435</v>
      </c>
      <c r="AQ25" s="21">
        <f t="shared" si="163"/>
        <v>7964.58</v>
      </c>
      <c r="AR25" s="21">
        <f t="shared" si="163"/>
        <v>833.67499999999995</v>
      </c>
      <c r="AS25" s="21">
        <f t="shared" si="163"/>
        <v>2258.1080000000002</v>
      </c>
      <c r="AT25" s="21">
        <f t="shared" si="163"/>
        <v>4001.2890000000002</v>
      </c>
      <c r="AU25" s="21">
        <f t="shared" si="163"/>
        <v>3056.3029999999999</v>
      </c>
      <c r="AV25" s="21">
        <f t="shared" si="163"/>
        <v>3559.2</v>
      </c>
      <c r="AW25" s="21">
        <f t="shared" si="163"/>
        <v>6567.1</v>
      </c>
      <c r="AX25" s="21">
        <f t="shared" si="163"/>
        <v>2657.4009999999998</v>
      </c>
      <c r="AY25" s="21">
        <f t="shared" si="163"/>
        <v>4751.9889999999996</v>
      </c>
      <c r="AZ25" s="21">
        <f t="shared" si="163"/>
        <v>4668.8959999999997</v>
      </c>
      <c r="BA25" s="21">
        <f t="shared" si="163"/>
        <v>1371.2443893699999</v>
      </c>
      <c r="BB25" s="21">
        <f t="shared" si="163"/>
        <v>745.10069792000002</v>
      </c>
      <c r="BC25" s="21">
        <f t="shared" si="163"/>
        <v>3089.4794808699999</v>
      </c>
      <c r="BD25" s="21">
        <f t="shared" si="163"/>
        <v>4095.2479205999998</v>
      </c>
      <c r="BE25" s="21">
        <f t="shared" si="163"/>
        <v>4302.7688244999999</v>
      </c>
      <c r="BF25" s="21">
        <f t="shared" si="163"/>
        <v>4684.0028685200004</v>
      </c>
      <c r="BG25" s="21">
        <f t="shared" si="163"/>
        <v>4810.0410879800002</v>
      </c>
      <c r="BH25" s="21">
        <f t="shared" si="163"/>
        <v>3443.18422586</v>
      </c>
      <c r="BI25" s="21">
        <f t="shared" si="163"/>
        <v>4430.8418493400004</v>
      </c>
      <c r="BJ25" s="21">
        <f t="shared" si="163"/>
        <v>2862.9872442300002</v>
      </c>
      <c r="BK25" s="21">
        <f t="shared" si="163"/>
        <v>5293.3761021500004</v>
      </c>
      <c r="BL25" s="21">
        <f t="shared" si="163"/>
        <v>7677.8268779999999</v>
      </c>
      <c r="BM25" s="21">
        <f t="shared" si="163"/>
        <v>2615.3324814100001</v>
      </c>
      <c r="BN25" s="21">
        <f t="shared" si="163"/>
        <v>3042.6356730000002</v>
      </c>
      <c r="BO25" s="21">
        <f t="shared" si="163"/>
        <v>7199.1512838500003</v>
      </c>
      <c r="BP25" s="21">
        <f t="shared" si="163"/>
        <v>4533.1058371500003</v>
      </c>
      <c r="BQ25" s="21">
        <f t="shared" si="163"/>
        <v>7038.6174599400001</v>
      </c>
      <c r="BR25" s="21">
        <f t="shared" si="163"/>
        <v>4112.0952576600002</v>
      </c>
      <c r="BS25" s="21">
        <f t="shared" si="163"/>
        <v>6894.0933426700003</v>
      </c>
      <c r="BT25" s="21">
        <f t="shared" si="163"/>
        <v>5198.1221321399998</v>
      </c>
      <c r="BU25" s="21">
        <f t="shared" si="163"/>
        <v>4772.7244435599996</v>
      </c>
      <c r="BV25" s="21">
        <f t="shared" si="163"/>
        <v>5202.76951259</v>
      </c>
      <c r="BW25" s="21">
        <f t="shared" si="163"/>
        <v>4855.9500980100001</v>
      </c>
      <c r="BX25" s="21">
        <f t="shared" si="163"/>
        <v>10739.740803590001</v>
      </c>
      <c r="BY25" s="21">
        <f t="shared" si="163"/>
        <v>6091.6670678299997</v>
      </c>
      <c r="BZ25" s="21">
        <f t="shared" si="163"/>
        <v>3577.8373734699999</v>
      </c>
      <c r="CA25" s="21">
        <f t="shared" si="163"/>
        <v>5406.7027257</v>
      </c>
      <c r="CB25" s="21">
        <f t="shared" si="163"/>
        <v>525.96997655999996</v>
      </c>
      <c r="CC25" s="21">
        <f t="shared" si="163"/>
        <v>7574.3813916600002</v>
      </c>
      <c r="CD25" s="21">
        <f t="shared" si="163"/>
        <v>3379.21069278</v>
      </c>
      <c r="CE25" s="21">
        <f t="shared" si="163"/>
        <v>4709.2074803100004</v>
      </c>
      <c r="CF25" s="21">
        <f t="shared" si="163"/>
        <v>1888.0124542900001</v>
      </c>
      <c r="CG25" s="21">
        <f t="shared" si="163"/>
        <v>7060.6509825700005</v>
      </c>
      <c r="CH25" s="21">
        <f t="shared" si="163"/>
        <v>6628.08577436</v>
      </c>
      <c r="CI25" s="21">
        <f t="shared" si="163"/>
        <v>7574.4029047599997</v>
      </c>
      <c r="CJ25" s="21">
        <f t="shared" si="163"/>
        <v>15976.810459619999</v>
      </c>
      <c r="CK25" s="21">
        <f t="shared" si="163"/>
        <v>2670.75211145</v>
      </c>
      <c r="CL25" s="21">
        <f t="shared" si="163"/>
        <v>3580.9665419799999</v>
      </c>
      <c r="CM25" s="21">
        <f t="shared" si="163"/>
        <v>5857.6980722999997</v>
      </c>
      <c r="CN25" s="21">
        <f t="shared" si="163"/>
        <v>3416.2358764199998</v>
      </c>
      <c r="CO25" s="21">
        <f t="shared" si="163"/>
        <v>4408.0965816400003</v>
      </c>
      <c r="CP25" s="21">
        <f t="shared" si="163"/>
        <v>3159.5149679599999</v>
      </c>
      <c r="CQ25" s="21">
        <f t="shared" si="163"/>
        <v>4325.2559839599999</v>
      </c>
      <c r="CR25" s="21">
        <f t="shared" si="163"/>
        <v>3786.1581403700002</v>
      </c>
      <c r="CS25" s="21">
        <f t="shared" si="163"/>
        <v>5225.5354825200002</v>
      </c>
      <c r="CT25" s="21">
        <f t="shared" si="163"/>
        <v>4780.2792699399997</v>
      </c>
      <c r="CU25" s="21">
        <f t="shared" si="163"/>
        <v>3321.5218029099901</v>
      </c>
      <c r="CV25" s="21">
        <f t="shared" si="163"/>
        <v>4652.0792452400001</v>
      </c>
      <c r="CW25" s="21">
        <f t="shared" si="163"/>
        <v>7729.4464073400004</v>
      </c>
      <c r="CX25" s="21">
        <f t="shared" si="163"/>
        <v>4766.7952124800004</v>
      </c>
      <c r="CY25" s="21">
        <f t="shared" si="163"/>
        <v>5472.5811202699997</v>
      </c>
      <c r="CZ25" s="43">
        <f t="shared" si="163"/>
        <v>2826.51755628</v>
      </c>
      <c r="DA25" s="43">
        <f t="shared" si="163"/>
        <v>1664.07711866</v>
      </c>
      <c r="DB25" s="43">
        <f t="shared" si="163"/>
        <v>3295.1019983000001</v>
      </c>
      <c r="DC25" s="43">
        <f t="shared" si="163"/>
        <v>3575.3351409000002</v>
      </c>
      <c r="DD25" s="43">
        <f t="shared" ref="DD25:DI25" si="164">+DD26</f>
        <v>3704.0654045600004</v>
      </c>
      <c r="DE25" s="43">
        <f t="shared" si="164"/>
        <v>1859.2217471499998</v>
      </c>
      <c r="DF25" s="43">
        <f t="shared" si="164"/>
        <v>4504.4233634900002</v>
      </c>
      <c r="DG25" s="43">
        <f t="shared" si="164"/>
        <v>4681.9133015200005</v>
      </c>
      <c r="DH25" s="43">
        <f t="shared" si="164"/>
        <v>6430.7050533199999</v>
      </c>
      <c r="DI25" s="43">
        <f t="shared" si="164"/>
        <v>4016.8892866800002</v>
      </c>
    </row>
    <row r="26" spans="2:113" x14ac:dyDescent="0.25">
      <c r="B26" s="19" t="s">
        <v>57</v>
      </c>
      <c r="C26" s="22" t="s">
        <v>58</v>
      </c>
      <c r="D26" s="17" t="s">
        <v>157</v>
      </c>
      <c r="E26" s="34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4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4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4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4">
        <v>2826.51755628</v>
      </c>
      <c r="DA26" s="44">
        <v>1664.07711866</v>
      </c>
      <c r="DB26" s="44">
        <v>3295.1019983000001</v>
      </c>
      <c r="DC26" s="44">
        <v>3575.3351409000002</v>
      </c>
      <c r="DD26" s="44">
        <v>3704.0654045600004</v>
      </c>
      <c r="DE26" s="44">
        <v>1859.2217471499998</v>
      </c>
      <c r="DF26" s="44">
        <v>4504.4233634900002</v>
      </c>
      <c r="DG26" s="44">
        <v>4681.9133015200005</v>
      </c>
      <c r="DH26" s="44">
        <v>6430.7050533199999</v>
      </c>
      <c r="DI26" s="44">
        <v>4016.8892866800002</v>
      </c>
    </row>
    <row r="27" spans="2:113" x14ac:dyDescent="0.25">
      <c r="B27" s="15" t="s">
        <v>59</v>
      </c>
      <c r="C27" s="16" t="s">
        <v>60</v>
      </c>
      <c r="D27" s="17" t="s">
        <v>158</v>
      </c>
      <c r="E27" s="32">
        <f>+E10-E16</f>
        <v>-638.29999999999927</v>
      </c>
      <c r="F27" s="18">
        <f t="shared" ref="F27:P27" si="165">+F10-F16</f>
        <v>-3364.7000000000007</v>
      </c>
      <c r="G27" s="18">
        <f t="shared" si="165"/>
        <v>-2063.1999999999898</v>
      </c>
      <c r="H27" s="18">
        <f t="shared" si="165"/>
        <v>253.29999999999927</v>
      </c>
      <c r="I27" s="18">
        <f t="shared" si="165"/>
        <v>-11976.400000000001</v>
      </c>
      <c r="J27" s="18">
        <f t="shared" si="165"/>
        <v>7661.7999999999993</v>
      </c>
      <c r="K27" s="18">
        <f t="shared" si="165"/>
        <v>-9420.8999999999942</v>
      </c>
      <c r="L27" s="18">
        <f t="shared" si="165"/>
        <v>-5390.5999999999985</v>
      </c>
      <c r="M27" s="18">
        <f t="shared" si="165"/>
        <v>5321.1999999999971</v>
      </c>
      <c r="N27" s="18">
        <f t="shared" si="165"/>
        <v>-3362.7999999999993</v>
      </c>
      <c r="O27" s="18">
        <f t="shared" si="165"/>
        <v>-1318.2999999999993</v>
      </c>
      <c r="P27" s="42">
        <f t="shared" si="165"/>
        <v>26036.399999999994</v>
      </c>
      <c r="Q27" s="18">
        <f>+Q10-Q16</f>
        <v>-9152.7000000000044</v>
      </c>
      <c r="R27" s="18">
        <f t="shared" ref="R27:AB27" si="166">+R10-R16</f>
        <v>-3453.9000000000015</v>
      </c>
      <c r="S27" s="18">
        <f t="shared" si="166"/>
        <v>1233.5</v>
      </c>
      <c r="T27" s="18">
        <f t="shared" si="166"/>
        <v>-3520.9999999999927</v>
      </c>
      <c r="U27" s="18">
        <f t="shared" si="166"/>
        <v>-9353.2000000000007</v>
      </c>
      <c r="V27" s="18">
        <f t="shared" si="166"/>
        <v>8228.2000000000044</v>
      </c>
      <c r="W27" s="18">
        <f t="shared" si="166"/>
        <v>-7641.799999999992</v>
      </c>
      <c r="X27" s="18">
        <f t="shared" si="166"/>
        <v>2136.8000000000065</v>
      </c>
      <c r="Y27" s="18">
        <f t="shared" si="166"/>
        <v>-3865.7000000000044</v>
      </c>
      <c r="Z27" s="18">
        <f t="shared" si="166"/>
        <v>-3352.7999999999956</v>
      </c>
      <c r="AA27" s="18">
        <f t="shared" si="166"/>
        <v>-9797.5999999999949</v>
      </c>
      <c r="AB27" s="42">
        <f t="shared" si="166"/>
        <v>31269.1</v>
      </c>
      <c r="AC27" s="18">
        <f>+AC10-AC16</f>
        <v>-13337.199999999997</v>
      </c>
      <c r="AD27" s="18">
        <f t="shared" ref="AD27:AN27" si="167">+AD10-AD16</f>
        <v>1836.5000000000036</v>
      </c>
      <c r="AE27" s="18">
        <f t="shared" si="167"/>
        <v>1188.0000000000073</v>
      </c>
      <c r="AF27" s="18">
        <f t="shared" si="167"/>
        <v>-7580.9000000000015</v>
      </c>
      <c r="AG27" s="18">
        <f t="shared" si="167"/>
        <v>-6244.8000000000029</v>
      </c>
      <c r="AH27" s="18">
        <f t="shared" si="167"/>
        <v>10103.400000000001</v>
      </c>
      <c r="AI27" s="18">
        <f t="shared" si="167"/>
        <v>-4070.8000000000029</v>
      </c>
      <c r="AJ27" s="18">
        <f t="shared" si="167"/>
        <v>-4504.8000000000065</v>
      </c>
      <c r="AK27" s="18">
        <f t="shared" si="167"/>
        <v>-2280.9000000000087</v>
      </c>
      <c r="AL27" s="18">
        <f t="shared" si="167"/>
        <v>-12450.099999999991</v>
      </c>
      <c r="AM27" s="18">
        <f t="shared" si="167"/>
        <v>-1137.5999999999985</v>
      </c>
      <c r="AN27" s="42">
        <f t="shared" si="167"/>
        <v>33595.200000000012</v>
      </c>
      <c r="AO27" s="18">
        <f>+AO10-AO16</f>
        <v>-9170.0590000000011</v>
      </c>
      <c r="AP27" s="18">
        <f t="shared" ref="AP27:AV27" si="168">+AP10-AP16</f>
        <v>5162.4169180000026</v>
      </c>
      <c r="AQ27" s="18">
        <f t="shared" si="168"/>
        <v>-3530.7609999999986</v>
      </c>
      <c r="AR27" s="18">
        <f t="shared" si="168"/>
        <v>-6338.1159999999945</v>
      </c>
      <c r="AS27" s="18">
        <f t="shared" si="168"/>
        <v>-5613.4529671900018</v>
      </c>
      <c r="AT27" s="18">
        <f t="shared" si="168"/>
        <v>1541.2250000000131</v>
      </c>
      <c r="AU27" s="18">
        <f t="shared" si="168"/>
        <v>-10175.535000000003</v>
      </c>
      <c r="AV27" s="18">
        <f t="shared" si="168"/>
        <v>744.50000000000728</v>
      </c>
      <c r="AW27" s="18">
        <f t="shared" ref="AW27:AX27" si="169">+AW10-AW16</f>
        <v>3890.6999999999971</v>
      </c>
      <c r="AX27" s="18">
        <f t="shared" si="169"/>
        <v>-5365.9459999999963</v>
      </c>
      <c r="AY27" s="18">
        <f t="shared" ref="AY27:AZ27" si="170">+AY10-AY16</f>
        <v>-6724.9210000000021</v>
      </c>
      <c r="AZ27" s="18">
        <f t="shared" si="170"/>
        <v>32104.067999999985</v>
      </c>
      <c r="BA27" s="18">
        <f t="shared" ref="BA27:BG27" si="171">+BA10-BA16</f>
        <v>-6008.4519098293968</v>
      </c>
      <c r="BB27" s="18">
        <f t="shared" si="171"/>
        <v>1814.0874428258976</v>
      </c>
      <c r="BC27" s="18">
        <f t="shared" si="171"/>
        <v>5793.7335214478007</v>
      </c>
      <c r="BD27" s="18">
        <f t="shared" si="171"/>
        <v>-7578.1506042101901</v>
      </c>
      <c r="BE27" s="18">
        <f t="shared" si="171"/>
        <v>141.38648511299834</v>
      </c>
      <c r="BF27" s="18">
        <f t="shared" si="171"/>
        <v>-625.77791768120369</v>
      </c>
      <c r="BG27" s="18">
        <f t="shared" si="171"/>
        <v>-11314.193201859991</v>
      </c>
      <c r="BH27" s="18">
        <f t="shared" ref="BH27" si="172">+BH10-BH16</f>
        <v>1500.5151702539006</v>
      </c>
      <c r="BI27" s="18">
        <f t="shared" ref="BI27:BM27" si="173">+BI10-BI16</f>
        <v>17598.846026014988</v>
      </c>
      <c r="BJ27" s="18">
        <f t="shared" si="173"/>
        <v>-4944.1230586036982</v>
      </c>
      <c r="BK27" s="18">
        <f t="shared" si="173"/>
        <v>-4988.86466897231</v>
      </c>
      <c r="BL27" s="18">
        <f t="shared" si="173"/>
        <v>17334.413113966206</v>
      </c>
      <c r="BM27" s="18">
        <f t="shared" si="173"/>
        <v>-5706.1391124408692</v>
      </c>
      <c r="BN27" s="18">
        <f>+BN10-BN16</f>
        <v>4113.1522338980067</v>
      </c>
      <c r="BO27" s="18">
        <f t="shared" ref="BO27:BP27" si="174">+BO10-BO16</f>
        <v>8118.4150180195065</v>
      </c>
      <c r="BP27" s="18">
        <f t="shared" si="174"/>
        <v>-9550.0951302798276</v>
      </c>
      <c r="BQ27" s="18">
        <f t="shared" ref="BQ27:BR27" si="175">+BQ10-BQ16</f>
        <v>-10280.498124769001</v>
      </c>
      <c r="BR27" s="18">
        <f t="shared" si="175"/>
        <v>22682.952537440287</v>
      </c>
      <c r="BS27" s="18">
        <f t="shared" ref="BS27:BT27" si="176">+BS10-BS16</f>
        <v>-8101.8693792194972</v>
      </c>
      <c r="BT27" s="18">
        <f t="shared" si="176"/>
        <v>3.3845641654988867</v>
      </c>
      <c r="BU27" s="18">
        <f t="shared" ref="BU27:BV27" si="177">+BU10-BU16</f>
        <v>17912.565043900009</v>
      </c>
      <c r="BV27" s="18">
        <f t="shared" si="177"/>
        <v>-4894.5085998290015</v>
      </c>
      <c r="BW27" s="18">
        <f t="shared" ref="BW27:BX27" si="178">+BW10-BW16</f>
        <v>-8376.8599783016543</v>
      </c>
      <c r="BX27" s="18">
        <f t="shared" si="178"/>
        <v>18467.223853654512</v>
      </c>
      <c r="BY27" s="18">
        <f t="shared" ref="BY27:BZ27" si="179">+BY10-BY16</f>
        <v>-6017.9626734394042</v>
      </c>
      <c r="BZ27" s="18">
        <f t="shared" si="179"/>
        <v>2976.3619677128881</v>
      </c>
      <c r="CA27" s="18">
        <f t="shared" ref="CA27:CB27" si="180">+CA10-CA16</f>
        <v>15861.063184279476</v>
      </c>
      <c r="CB27" s="18">
        <f t="shared" si="180"/>
        <v>-5508.8295838839258</v>
      </c>
      <c r="CC27" s="18">
        <f t="shared" ref="CC27:CI27" si="181">+CC10-CC16</f>
        <v>-9466.8457510575463</v>
      </c>
      <c r="CD27" s="18">
        <f t="shared" ref="CD27:CH27" si="182">+CD10-CD16</f>
        <v>16552.22295878992</v>
      </c>
      <c r="CE27" s="18">
        <f t="shared" si="182"/>
        <v>-6377.3814811821576</v>
      </c>
      <c r="CF27" s="18">
        <f t="shared" si="182"/>
        <v>3410.3260333013968</v>
      </c>
      <c r="CG27" s="18">
        <f t="shared" si="182"/>
        <v>12703.2722521658</v>
      </c>
      <c r="CH27" s="18">
        <f t="shared" si="182"/>
        <v>-11559.794131895898</v>
      </c>
      <c r="CI27" s="18">
        <f t="shared" si="181"/>
        <v>-11846.960820078581</v>
      </c>
      <c r="CJ27" s="18">
        <f t="shared" ref="CJ27:CK27" si="183">+CJ10-CJ16</f>
        <v>18679.288477523303</v>
      </c>
      <c r="CK27" s="18">
        <f t="shared" si="183"/>
        <v>-13130.711770945847</v>
      </c>
      <c r="CL27" s="18">
        <f t="shared" ref="CL27:CN27" si="184">+CL10-CL16</f>
        <v>-9363.2251796080163</v>
      </c>
      <c r="CM27" s="18">
        <f t="shared" ref="CM27" si="185">+CM10-CM16</f>
        <v>-2933.155067246189</v>
      </c>
      <c r="CN27" s="18">
        <f t="shared" si="184"/>
        <v>-25481.119249664203</v>
      </c>
      <c r="CO27" s="18">
        <f t="shared" ref="CO27:CP27" si="186">+CO10-CO16</f>
        <v>-20086.722172905596</v>
      </c>
      <c r="CP27" s="18">
        <f t="shared" si="186"/>
        <v>9697.3127806630146</v>
      </c>
      <c r="CQ27" s="18">
        <f t="shared" ref="CQ27:CS27" si="187">+CQ10-CQ16</f>
        <v>-10812.921771964204</v>
      </c>
      <c r="CR27" s="18">
        <f t="shared" ref="CR27" si="188">+CR10-CR16</f>
        <v>-4376.7556939845017</v>
      </c>
      <c r="CS27" s="18">
        <f t="shared" si="187"/>
        <v>6233.9120210615947</v>
      </c>
      <c r="CT27" s="18">
        <f t="shared" ref="CT27:CU27" si="189">+CT10-CT16</f>
        <v>-7939.8286873788966</v>
      </c>
      <c r="CU27" s="18">
        <f t="shared" si="189"/>
        <v>-8162.1968539640147</v>
      </c>
      <c r="CV27" s="18">
        <f t="shared" ref="CV27:CW27" si="190">+CV10-CV16</f>
        <v>25845.185182380686</v>
      </c>
      <c r="CW27" s="18">
        <f t="shared" si="190"/>
        <v>12034.781484278887</v>
      </c>
      <c r="CX27" s="18">
        <f t="shared" ref="CX27:CY27" si="191">+CX10-CX16</f>
        <v>-7278.5180837775843</v>
      </c>
      <c r="CY27" s="18">
        <f t="shared" si="191"/>
        <v>4961.3093308487005</v>
      </c>
      <c r="CZ27" s="42">
        <f t="shared" ref="CZ27:DA27" si="192">+CZ10-CZ16</f>
        <v>-14028.115327257605</v>
      </c>
      <c r="DA27" s="42">
        <f t="shared" si="192"/>
        <v>-10510.9575518536</v>
      </c>
      <c r="DB27" s="42">
        <f t="shared" ref="DB27:DC27" si="193">+DB10-DB16</f>
        <v>10277.238179897264</v>
      </c>
      <c r="DC27" s="42">
        <f t="shared" si="193"/>
        <v>-14346.942078740634</v>
      </c>
      <c r="DD27" s="42">
        <f t="shared" ref="DD27:DE27" si="194">+DD10-DD16</f>
        <v>4921.0573609199128</v>
      </c>
      <c r="DE27" s="42">
        <f t="shared" si="194"/>
        <v>4945.4430434669921</v>
      </c>
      <c r="DF27" s="42">
        <f t="shared" ref="DF27:DG27" si="195">+DF10-DF16</f>
        <v>-4728.9146332108503</v>
      </c>
      <c r="DG27" s="42">
        <f t="shared" si="195"/>
        <v>-5324.3127812165767</v>
      </c>
      <c r="DH27" s="42">
        <f t="shared" ref="DH27:DI27" si="196">+DH10-DH16</f>
        <v>40407.019708018968</v>
      </c>
      <c r="DI27" s="42">
        <f t="shared" si="196"/>
        <v>-13774.634347761908</v>
      </c>
    </row>
    <row r="28" spans="2:113" s="5" customFormat="1" x14ac:dyDescent="0.25">
      <c r="B28" s="49" t="s">
        <v>70</v>
      </c>
      <c r="C28" s="50" t="s">
        <v>61</v>
      </c>
      <c r="D28" s="51" t="s">
        <v>159</v>
      </c>
      <c r="E28" s="52">
        <f t="shared" ref="E28:P28" si="197">E29+E36</f>
        <v>638.29999999999905</v>
      </c>
      <c r="F28" s="53">
        <f t="shared" si="197"/>
        <v>3364.7000000000007</v>
      </c>
      <c r="G28" s="53">
        <f t="shared" si="197"/>
        <v>2063.1999999999898</v>
      </c>
      <c r="H28" s="53">
        <f t="shared" si="197"/>
        <v>-253.29999999999927</v>
      </c>
      <c r="I28" s="53">
        <f t="shared" si="197"/>
        <v>11976.400000000003</v>
      </c>
      <c r="J28" s="53">
        <f t="shared" si="197"/>
        <v>-7661.7999999999993</v>
      </c>
      <c r="K28" s="53">
        <f t="shared" si="197"/>
        <v>9420.8999999999942</v>
      </c>
      <c r="L28" s="53">
        <f t="shared" si="197"/>
        <v>5390.5999999999995</v>
      </c>
      <c r="M28" s="53">
        <f t="shared" si="197"/>
        <v>-5321.1999999999971</v>
      </c>
      <c r="N28" s="53">
        <f t="shared" si="197"/>
        <v>3362.8</v>
      </c>
      <c r="O28" s="53">
        <f t="shared" si="197"/>
        <v>1318.3000000000011</v>
      </c>
      <c r="P28" s="54">
        <f t="shared" si="197"/>
        <v>-26036.399999999994</v>
      </c>
      <c r="Q28" s="53">
        <f t="shared" ref="Q28:AB28" si="198">Q29+Q36</f>
        <v>9152.7000000000044</v>
      </c>
      <c r="R28" s="53">
        <f t="shared" si="198"/>
        <v>3453.9000000000015</v>
      </c>
      <c r="S28" s="53">
        <f t="shared" si="198"/>
        <v>-1233.5</v>
      </c>
      <c r="T28" s="53">
        <f t="shared" si="198"/>
        <v>3520.9999999999854</v>
      </c>
      <c r="U28" s="53">
        <f t="shared" si="198"/>
        <v>9353.2000000000007</v>
      </c>
      <c r="V28" s="53">
        <f t="shared" si="198"/>
        <v>-8228.2000000000044</v>
      </c>
      <c r="W28" s="53">
        <f t="shared" si="198"/>
        <v>7641.799999999992</v>
      </c>
      <c r="X28" s="53">
        <f t="shared" si="198"/>
        <v>-2136.8000000000065</v>
      </c>
      <c r="Y28" s="53">
        <f t="shared" si="198"/>
        <v>3865.7000000000048</v>
      </c>
      <c r="Z28" s="53">
        <f t="shared" si="198"/>
        <v>3352.7999999999952</v>
      </c>
      <c r="AA28" s="53">
        <f t="shared" si="198"/>
        <v>9797.5999999999949</v>
      </c>
      <c r="AB28" s="54">
        <f t="shared" si="198"/>
        <v>-31269.1</v>
      </c>
      <c r="AC28" s="53">
        <f t="shared" ref="AC28:AN28" si="199">AC29+AC36</f>
        <v>13337.199999999995</v>
      </c>
      <c r="AD28" s="53">
        <f t="shared" si="199"/>
        <v>-1836.5000000000036</v>
      </c>
      <c r="AE28" s="53">
        <f t="shared" si="199"/>
        <v>-1188.0000000000073</v>
      </c>
      <c r="AF28" s="53">
        <f t="shared" si="199"/>
        <v>7580.9000000000015</v>
      </c>
      <c r="AG28" s="53">
        <f t="shared" si="199"/>
        <v>6244.8000000000029</v>
      </c>
      <c r="AH28" s="53">
        <f t="shared" si="199"/>
        <v>-10103.400000000001</v>
      </c>
      <c r="AI28" s="53">
        <f t="shared" si="199"/>
        <v>4070.8000000000025</v>
      </c>
      <c r="AJ28" s="53">
        <f t="shared" si="199"/>
        <v>4504.8000000000065</v>
      </c>
      <c r="AK28" s="53">
        <f t="shared" si="199"/>
        <v>2280.9000000000087</v>
      </c>
      <c r="AL28" s="53">
        <f t="shared" si="199"/>
        <v>12450.099999999991</v>
      </c>
      <c r="AM28" s="53">
        <f t="shared" si="199"/>
        <v>-4933.6000000000004</v>
      </c>
      <c r="AN28" s="54">
        <f t="shared" si="199"/>
        <v>-33595.200000000012</v>
      </c>
      <c r="AO28" s="53">
        <f t="shared" ref="AO28:AV28" si="200">AO29+AO36</f>
        <v>9170.0590000000011</v>
      </c>
      <c r="AP28" s="53">
        <f t="shared" si="200"/>
        <v>-5162.4169180000026</v>
      </c>
      <c r="AQ28" s="53">
        <f t="shared" si="200"/>
        <v>3530.7609999999986</v>
      </c>
      <c r="AR28" s="53">
        <f t="shared" si="200"/>
        <v>-8266.5840000000062</v>
      </c>
      <c r="AS28" s="53">
        <f t="shared" si="200"/>
        <v>5613.4529671900018</v>
      </c>
      <c r="AT28" s="53">
        <f t="shared" si="200"/>
        <v>-1541.2250000000133</v>
      </c>
      <c r="AU28" s="53">
        <f t="shared" si="200"/>
        <v>10175.535000000003</v>
      </c>
      <c r="AV28" s="53">
        <f t="shared" si="200"/>
        <v>-744.50000000000682</v>
      </c>
      <c r="AW28" s="53">
        <f t="shared" ref="AW28" si="201">AW29+AW36</f>
        <v>-3890.699999999998</v>
      </c>
      <c r="AX28" s="53">
        <f t="shared" ref="AX28:BC28" si="202">AX29+AX36</f>
        <v>5365.9459999999972</v>
      </c>
      <c r="AY28" s="53">
        <f t="shared" si="202"/>
        <v>6724.9210000000021</v>
      </c>
      <c r="AZ28" s="53">
        <f t="shared" si="202"/>
        <v>-32104.067999999988</v>
      </c>
      <c r="BA28" s="53">
        <f t="shared" si="202"/>
        <v>6008.4519098293968</v>
      </c>
      <c r="BB28" s="53">
        <f t="shared" si="202"/>
        <v>-1814.0874428258976</v>
      </c>
      <c r="BC28" s="53">
        <f t="shared" si="202"/>
        <v>-5793.7335214478007</v>
      </c>
      <c r="BD28" s="53">
        <f t="shared" ref="BD28:BE28" si="203">BD29+BD36</f>
        <v>-3821.9137911333082</v>
      </c>
      <c r="BE28" s="53">
        <f t="shared" si="203"/>
        <v>-141.38648511299107</v>
      </c>
      <c r="BF28" s="53">
        <f t="shared" ref="BF28:BG28" si="204">BF29+BF36</f>
        <v>625.77791768119687</v>
      </c>
      <c r="BG28" s="53">
        <f t="shared" si="204"/>
        <v>11314.193201859991</v>
      </c>
      <c r="BH28" s="53">
        <f t="shared" ref="BH28:BI28" si="205">BH29+BH36</f>
        <v>-1500.5151702539015</v>
      </c>
      <c r="BI28" s="53">
        <f t="shared" si="205"/>
        <v>-17598.846026014988</v>
      </c>
      <c r="BJ28" s="53">
        <f t="shared" ref="BJ28:BK28" si="206">BJ29+BJ36</f>
        <v>4944.1230586036982</v>
      </c>
      <c r="BK28" s="53">
        <f t="shared" si="206"/>
        <v>4988.86466897231</v>
      </c>
      <c r="BL28" s="53">
        <f t="shared" ref="BL28:BR28" si="207">BL29+BL36</f>
        <v>-3073.7741139662048</v>
      </c>
      <c r="BM28" s="53">
        <f t="shared" si="207"/>
        <v>7706.1391124408701</v>
      </c>
      <c r="BN28" s="53">
        <f t="shared" si="207"/>
        <v>-2961.5063678480064</v>
      </c>
      <c r="BO28" s="53">
        <f t="shared" si="207"/>
        <v>-4118.4150180195065</v>
      </c>
      <c r="BP28" s="53">
        <f t="shared" si="207"/>
        <v>3025.5969514279377</v>
      </c>
      <c r="BQ28" s="53">
        <f t="shared" si="207"/>
        <v>12545.863212389002</v>
      </c>
      <c r="BR28" s="53">
        <f t="shared" si="207"/>
        <v>-22528.317395620288</v>
      </c>
      <c r="BS28" s="53">
        <f t="shared" ref="BS28:BT28" si="208">BS29+BS36</f>
        <v>8266.8693792194972</v>
      </c>
      <c r="BT28" s="53">
        <f t="shared" si="208"/>
        <v>4666.6154358345011</v>
      </c>
      <c r="BU28" s="53">
        <f t="shared" ref="BU28:BV28" si="209">BU29+BU36</f>
        <v>-17831.008665140009</v>
      </c>
      <c r="BV28" s="53">
        <f t="shared" si="209"/>
        <v>-5145.7964001709988</v>
      </c>
      <c r="BW28" s="53">
        <f t="shared" ref="BW28:BX28" si="210">BW29+BW36</f>
        <v>8559.4527489516531</v>
      </c>
      <c r="BX28" s="53">
        <f t="shared" si="210"/>
        <v>-9428.4355474145123</v>
      </c>
      <c r="BY28" s="53">
        <f t="shared" ref="BY28:BZ28" si="211">BY29+BY36</f>
        <v>6064.6626734394031</v>
      </c>
      <c r="BZ28" s="53">
        <f t="shared" si="211"/>
        <v>-2923.807996376388</v>
      </c>
      <c r="CA28" s="53">
        <f t="shared" ref="CA28:CB28" si="212">CA29+CA36</f>
        <v>-17178.994422540105</v>
      </c>
      <c r="CB28" s="53">
        <f t="shared" si="212"/>
        <v>-6511.3575276660767</v>
      </c>
      <c r="CC28" s="53">
        <f t="shared" ref="CC28:CI28" si="213">CC29+CC36</f>
        <v>2730.8052872475464</v>
      </c>
      <c r="CD28" s="53">
        <f t="shared" ref="CD28:CH28" si="214">CD29+CD36</f>
        <v>-57240.57941327992</v>
      </c>
      <c r="CE28" s="53">
        <f t="shared" si="214"/>
        <v>-12870.050539530142</v>
      </c>
      <c r="CF28" s="53">
        <f t="shared" si="214"/>
        <v>3197.7483716186034</v>
      </c>
      <c r="CG28" s="53">
        <f t="shared" si="214"/>
        <v>-5734.0319809657985</v>
      </c>
      <c r="CH28" s="53">
        <f t="shared" si="214"/>
        <v>6603.1254684824071</v>
      </c>
      <c r="CI28" s="53">
        <f t="shared" si="213"/>
        <v>11836.706524413705</v>
      </c>
      <c r="CJ28" s="53">
        <f t="shared" ref="CJ28:CK28" si="215">CJ29+CJ36</f>
        <v>-13620.661781323302</v>
      </c>
      <c r="CK28" s="53">
        <f t="shared" si="215"/>
        <v>15177.149879273697</v>
      </c>
      <c r="CL28" s="53">
        <f t="shared" ref="CL28:CN28" si="216">CL29+CL36</f>
        <v>11549.797429948014</v>
      </c>
      <c r="CM28" s="53">
        <f t="shared" ref="CM28" si="217">CM29+CM36</f>
        <v>5024.3296722761897</v>
      </c>
      <c r="CN28" s="53">
        <f t="shared" si="216"/>
        <v>27581.4858801542</v>
      </c>
      <c r="CO28" s="53">
        <f t="shared" ref="CO28:CP28" si="218">CO29+CO36</f>
        <v>21908.748025404599</v>
      </c>
      <c r="CP28" s="53">
        <f t="shared" si="218"/>
        <v>10611.803933086987</v>
      </c>
      <c r="CQ28" s="53">
        <f t="shared" ref="CQ28:CS28" si="219">CQ29+CQ36</f>
        <v>9980.4274794842058</v>
      </c>
      <c r="CR28" s="53">
        <f t="shared" ref="CR28" si="220">CR29+CR36</f>
        <v>5117.3605198945024</v>
      </c>
      <c r="CS28" s="53">
        <f t="shared" si="219"/>
        <v>-7005.0295776464827</v>
      </c>
      <c r="CT28" s="53">
        <f t="shared" ref="CT28:CU28" si="221">CT29+CT36</f>
        <v>7931.2300607195466</v>
      </c>
      <c r="CU28" s="53">
        <f t="shared" si="221"/>
        <v>9775.9741600740126</v>
      </c>
      <c r="CV28" s="53">
        <f t="shared" ref="CV28:CW28" si="222">CV29+CV36</f>
        <v>-23514.554907040689</v>
      </c>
      <c r="CW28" s="53">
        <f t="shared" si="222"/>
        <v>-12043.820622498035</v>
      </c>
      <c r="CX28" s="53">
        <f t="shared" ref="CX28:CY28" si="223">CX29+CX36</f>
        <v>8746.5733891675864</v>
      </c>
      <c r="CY28" s="53">
        <f t="shared" si="223"/>
        <v>-3101.9314485687009</v>
      </c>
      <c r="CZ28" s="54">
        <f t="shared" ref="CZ28:DA28" si="224">CZ29+CZ36</f>
        <v>17026.818645427604</v>
      </c>
      <c r="DA28" s="54">
        <f t="shared" si="224"/>
        <v>15560.5132220136</v>
      </c>
      <c r="DB28" s="54">
        <f t="shared" ref="DB28:DC28" si="225">DB29+DB36</f>
        <v>-9724.5426443827</v>
      </c>
      <c r="DC28" s="54">
        <f t="shared" si="225"/>
        <v>15930.889582740634</v>
      </c>
      <c r="DD28" s="54">
        <f t="shared" ref="DD28:DE28" si="226">DD29+DD36</f>
        <v>-4943.2946651301445</v>
      </c>
      <c r="DE28" s="54">
        <f t="shared" si="226"/>
        <v>-5724.9179645232743</v>
      </c>
      <c r="DF28" s="54">
        <f t="shared" ref="DF28:DG28" si="227">DF29+DF36</f>
        <v>6219.2551152908491</v>
      </c>
      <c r="DG28" s="54">
        <f t="shared" si="227"/>
        <v>6114.8612536265755</v>
      </c>
      <c r="DH28" s="54">
        <f t="shared" ref="DH28:DI28" si="228">DH29+DH36</f>
        <v>-39389.593202968972</v>
      </c>
      <c r="DI28" s="54">
        <f t="shared" si="228"/>
        <v>13669.333321341908</v>
      </c>
    </row>
    <row r="29" spans="2:113" s="5" customFormat="1" x14ac:dyDescent="0.25">
      <c r="B29" s="49" t="s">
        <v>71</v>
      </c>
      <c r="C29" s="55" t="s">
        <v>62</v>
      </c>
      <c r="D29" s="51" t="s">
        <v>160</v>
      </c>
      <c r="E29" s="52">
        <f t="shared" ref="E29:M29" si="229">SUM(E30:E35)</f>
        <v>2154.9999999999991</v>
      </c>
      <c r="F29" s="53">
        <f t="shared" si="229"/>
        <v>-3470.2909999999993</v>
      </c>
      <c r="G29" s="53">
        <f t="shared" si="229"/>
        <v>1379.8999999999901</v>
      </c>
      <c r="H29" s="53">
        <f t="shared" si="229"/>
        <v>1809.8000000000006</v>
      </c>
      <c r="I29" s="53">
        <f t="shared" si="229"/>
        <v>14465.500000000004</v>
      </c>
      <c r="J29" s="53">
        <f t="shared" si="229"/>
        <v>-5627</v>
      </c>
      <c r="K29" s="53">
        <f t="shared" si="229"/>
        <v>5124.8699999999935</v>
      </c>
      <c r="L29" s="53">
        <f t="shared" si="229"/>
        <v>7417.7999999999993</v>
      </c>
      <c r="M29" s="53">
        <f t="shared" si="229"/>
        <v>-18047.329999999998</v>
      </c>
      <c r="N29" s="53">
        <f t="shared" ref="N29:P29" si="230">SUM(N30:N35)</f>
        <v>6415</v>
      </c>
      <c r="O29" s="53">
        <f t="shared" si="230"/>
        <v>-12728.599999999999</v>
      </c>
      <c r="P29" s="54">
        <f t="shared" si="230"/>
        <v>-24003.999999999993</v>
      </c>
      <c r="Q29" s="53">
        <f t="shared" ref="Q29:Y29" si="231">SUM(Q30:Q35)</f>
        <v>11789.200000000004</v>
      </c>
      <c r="R29" s="53">
        <f t="shared" si="231"/>
        <v>4868.2000000000016</v>
      </c>
      <c r="S29" s="53">
        <f t="shared" si="231"/>
        <v>-7682.61</v>
      </c>
      <c r="T29" s="53">
        <f t="shared" si="231"/>
        <v>-83301.510000000024</v>
      </c>
      <c r="U29" s="53">
        <f t="shared" si="231"/>
        <v>10632.7</v>
      </c>
      <c r="V29" s="53">
        <f t="shared" si="231"/>
        <v>-10442.830000000005</v>
      </c>
      <c r="W29" s="53">
        <f t="shared" si="231"/>
        <v>31098.19999999999</v>
      </c>
      <c r="X29" s="53">
        <f t="shared" si="231"/>
        <v>-487.10000000000673</v>
      </c>
      <c r="Y29" s="53">
        <f t="shared" si="231"/>
        <v>5514.7000000000044</v>
      </c>
      <c r="Z29" s="53">
        <f t="shared" ref="Z29:AB29" si="232">SUM(Z30:Z35)</f>
        <v>5068.6999999999953</v>
      </c>
      <c r="AA29" s="53">
        <f t="shared" si="232"/>
        <v>8251.8999999999942</v>
      </c>
      <c r="AB29" s="54">
        <f t="shared" si="232"/>
        <v>-39612.61</v>
      </c>
      <c r="AC29" s="53">
        <f t="shared" ref="AC29:AJ29" si="233">SUM(AC30:AC35)</f>
        <v>17737.299999999996</v>
      </c>
      <c r="AD29" s="53">
        <f t="shared" si="233"/>
        <v>-354.20000000000368</v>
      </c>
      <c r="AE29" s="53">
        <f t="shared" si="233"/>
        <v>29567.199999999993</v>
      </c>
      <c r="AF29" s="53">
        <f t="shared" si="233"/>
        <v>-28645.80000000001</v>
      </c>
      <c r="AG29" s="53">
        <f t="shared" si="233"/>
        <v>-8660.8999999999978</v>
      </c>
      <c r="AH29" s="53">
        <f t="shared" si="233"/>
        <v>-7980.3000000000011</v>
      </c>
      <c r="AI29" s="53">
        <f t="shared" si="233"/>
        <v>3785.7000000000021</v>
      </c>
      <c r="AJ29" s="53">
        <f t="shared" si="233"/>
        <v>7472.6000000000058</v>
      </c>
      <c r="AK29" s="53">
        <f t="shared" ref="AK29:AN29" si="234">SUM(AK30:AK35)</f>
        <v>-1172.7499999999914</v>
      </c>
      <c r="AL29" s="53">
        <f t="shared" si="234"/>
        <v>16383.599999999991</v>
      </c>
      <c r="AM29" s="53">
        <f t="shared" si="234"/>
        <v>-2706</v>
      </c>
      <c r="AN29" s="54">
        <f t="shared" si="234"/>
        <v>-31202.700000000008</v>
      </c>
      <c r="AO29" s="56">
        <f t="shared" ref="AO29:AV29" si="235">SUM(AO30:AO35)</f>
        <v>12742.659000000001</v>
      </c>
      <c r="AP29" s="56">
        <f t="shared" si="235"/>
        <v>-1527.8169180000027</v>
      </c>
      <c r="AQ29" s="56">
        <f t="shared" si="235"/>
        <v>6648.2609999999986</v>
      </c>
      <c r="AR29" s="56">
        <f t="shared" si="235"/>
        <v>-4332.7840000000069</v>
      </c>
      <c r="AS29" s="56">
        <f t="shared" si="235"/>
        <v>-4858.6470328099967</v>
      </c>
      <c r="AT29" s="56">
        <f t="shared" si="235"/>
        <v>-424.2250000000131</v>
      </c>
      <c r="AU29" s="56">
        <f t="shared" si="235"/>
        <v>13167.435000000003</v>
      </c>
      <c r="AV29" s="56">
        <f t="shared" si="235"/>
        <v>2400.3999999999933</v>
      </c>
      <c r="AW29" s="56">
        <f t="shared" ref="AW29:AX29" si="236">SUM(AW30:AW35)</f>
        <v>-10504.099999999999</v>
      </c>
      <c r="AX29" s="56">
        <f t="shared" si="236"/>
        <v>7390.9459999999972</v>
      </c>
      <c r="AY29" s="56">
        <f t="shared" ref="AY29:BD29" si="237">SUM(AY30:AY35)</f>
        <v>10780.363000000003</v>
      </c>
      <c r="AZ29" s="56">
        <f t="shared" si="237"/>
        <v>-31214.329999999987</v>
      </c>
      <c r="BA29" s="56">
        <f t="shared" si="237"/>
        <v>8923.1775066685968</v>
      </c>
      <c r="BB29" s="56">
        <f t="shared" si="237"/>
        <v>-863.35114686819725</v>
      </c>
      <c r="BC29" s="56">
        <f t="shared" si="237"/>
        <v>18605.192407984199</v>
      </c>
      <c r="BD29" s="56">
        <f t="shared" si="237"/>
        <v>-9946.4246107155086</v>
      </c>
      <c r="BE29" s="56">
        <f t="shared" ref="BE29:BG29" si="238">SUM(BE30:BE35)</f>
        <v>-105557.45208570889</v>
      </c>
      <c r="BF29" s="56">
        <f t="shared" si="238"/>
        <v>2821.690928910597</v>
      </c>
      <c r="BG29" s="56">
        <f t="shared" si="238"/>
        <v>12234.933661959991</v>
      </c>
      <c r="BH29" s="56">
        <f t="shared" ref="BH29:BI29" si="239">SUM(BH30:BH35)</f>
        <v>1908.1723896860985</v>
      </c>
      <c r="BI29" s="56">
        <f t="shared" si="239"/>
        <v>-16312.935160164987</v>
      </c>
      <c r="BJ29" s="56">
        <f t="shared" ref="BJ29:BK29" si="240">SUM(BJ30:BJ35)</f>
        <v>7801.7698455517984</v>
      </c>
      <c r="BK29" s="56">
        <f t="shared" si="240"/>
        <v>8354.55531665331</v>
      </c>
      <c r="BL29" s="56">
        <f t="shared" ref="BL29:BR29" si="241">SUM(BL30:BL35)</f>
        <v>-4408.5621090878049</v>
      </c>
      <c r="BM29" s="56">
        <f t="shared" si="241"/>
        <v>7890.7504799108701</v>
      </c>
      <c r="BN29" s="56">
        <f t="shared" si="241"/>
        <v>-6598.1084497896063</v>
      </c>
      <c r="BO29" s="56">
        <f t="shared" si="241"/>
        <v>7416.8389629336925</v>
      </c>
      <c r="BP29" s="56">
        <f t="shared" si="241"/>
        <v>6276.9234187979382</v>
      </c>
      <c r="BQ29" s="56">
        <f t="shared" si="241"/>
        <v>12200.712366161002</v>
      </c>
      <c r="BR29" s="56">
        <f t="shared" si="241"/>
        <v>-22122.174963009387</v>
      </c>
      <c r="BS29" s="56">
        <f t="shared" ref="BS29:BT29" si="242">SUM(BS30:BS35)</f>
        <v>8400.7060753219976</v>
      </c>
      <c r="BT29" s="56">
        <f t="shared" si="242"/>
        <v>5972.8787396080015</v>
      </c>
      <c r="BU29" s="56">
        <f t="shared" ref="BU29:BV29" si="243">SUM(BU30:BU35)</f>
        <v>-21448.291182540008</v>
      </c>
      <c r="BV29" s="56">
        <f t="shared" si="243"/>
        <v>-2998.2835314933982</v>
      </c>
      <c r="BW29" s="56">
        <f t="shared" ref="BW29:BX29" si="244">SUM(BW30:BW35)</f>
        <v>11322.841354906053</v>
      </c>
      <c r="BX29" s="56">
        <f t="shared" si="244"/>
        <v>-8202.714566680912</v>
      </c>
      <c r="BY29" s="56">
        <f t="shared" ref="BY29" si="245">SUM(BY30:BY35)</f>
        <v>5468.5727712866037</v>
      </c>
      <c r="BZ29" s="56">
        <f t="shared" ref="BZ29:CD29" si="246">SUM(BZ30:BZ35)</f>
        <v>-774.88378973498811</v>
      </c>
      <c r="CA29" s="56">
        <f t="shared" si="246"/>
        <v>-3019.3024203331065</v>
      </c>
      <c r="CB29" s="56">
        <f t="shared" si="246"/>
        <v>-1278.9697619092767</v>
      </c>
      <c r="CC29" s="56">
        <f t="shared" si="246"/>
        <v>5446.1318957587464</v>
      </c>
      <c r="CD29" s="56">
        <f t="shared" si="246"/>
        <v>-37083.418763611917</v>
      </c>
      <c r="CE29" s="56">
        <f t="shared" ref="CE29:CF29" si="247">SUM(CE30:CE35)</f>
        <v>-10379.576164100143</v>
      </c>
      <c r="CF29" s="56">
        <f t="shared" si="247"/>
        <v>5076.7559559910032</v>
      </c>
      <c r="CG29" s="56">
        <f t="shared" ref="CG29:CN29" si="248">SUM(CG30:CG35)</f>
        <v>-9311.0363565595981</v>
      </c>
      <c r="CH29" s="56">
        <f t="shared" si="248"/>
        <v>13103.518006182407</v>
      </c>
      <c r="CI29" s="56">
        <f t="shared" si="248"/>
        <v>12896.698922816206</v>
      </c>
      <c r="CJ29" s="56">
        <f t="shared" si="248"/>
        <v>-18306.409124485304</v>
      </c>
      <c r="CK29" s="56">
        <f t="shared" si="248"/>
        <v>15908.767326321497</v>
      </c>
      <c r="CL29" s="56">
        <f t="shared" si="248"/>
        <v>14666.916056079814</v>
      </c>
      <c r="CM29" s="56">
        <f t="shared" ref="CM29" si="249">SUM(CM30:CM35)</f>
        <v>7366.2846824637891</v>
      </c>
      <c r="CN29" s="56">
        <f t="shared" si="248"/>
        <v>34381.329562626597</v>
      </c>
      <c r="CO29" s="56">
        <f t="shared" ref="CO29:CP29" si="250">SUM(CO30:CO35)</f>
        <v>25265.9801091462</v>
      </c>
      <c r="CP29" s="56">
        <f t="shared" si="250"/>
        <v>11559.469279694502</v>
      </c>
      <c r="CQ29" s="56">
        <f t="shared" ref="CQ29" si="251">SUM(CQ30:CQ35)</f>
        <v>-4297.3884914906957</v>
      </c>
      <c r="CR29" s="56">
        <f t="shared" ref="CR29:CX29" si="252">SUM(CR30:CR35)</f>
        <v>7862.0512742245028</v>
      </c>
      <c r="CS29" s="56">
        <f t="shared" si="252"/>
        <v>-6248.2409999213833</v>
      </c>
      <c r="CT29" s="56">
        <f t="shared" si="252"/>
        <v>15881.657861171147</v>
      </c>
      <c r="CU29" s="56">
        <f t="shared" si="252"/>
        <v>13040.509895478814</v>
      </c>
      <c r="CV29" s="56">
        <f t="shared" si="252"/>
        <v>-50773.297043881488</v>
      </c>
      <c r="CW29" s="56">
        <f t="shared" si="252"/>
        <v>-18360.336899704434</v>
      </c>
      <c r="CX29" s="56">
        <f t="shared" si="252"/>
        <v>11956.565327140186</v>
      </c>
      <c r="CY29" s="56">
        <f t="shared" ref="CY29:CZ29" si="253">SUM(CY30:CY35)</f>
        <v>-5114.946655793201</v>
      </c>
      <c r="CZ29" s="59">
        <f t="shared" si="253"/>
        <v>25518.067377439103</v>
      </c>
      <c r="DA29" s="59">
        <f t="shared" ref="DA29:DB29" si="254">SUM(DA30:DA35)</f>
        <v>15798.5366349001</v>
      </c>
      <c r="DB29" s="59">
        <f t="shared" si="254"/>
        <v>-5760.0888849848998</v>
      </c>
      <c r="DC29" s="59">
        <f t="shared" ref="DC29:DD29" si="255">SUM(DC30:DC35)</f>
        <v>18479.073479027735</v>
      </c>
      <c r="DD29" s="59">
        <f t="shared" si="255"/>
        <v>-868.00188165014424</v>
      </c>
      <c r="DE29" s="59">
        <f t="shared" ref="DE29:DF29" si="256">SUM(DE30:DE35)</f>
        <v>-4066.1343743742746</v>
      </c>
      <c r="DF29" s="59">
        <f t="shared" si="256"/>
        <v>46750.514712050848</v>
      </c>
      <c r="DG29" s="59">
        <f t="shared" ref="DG29:DH29" si="257">SUM(DG30:DG35)</f>
        <v>-16696.037441482124</v>
      </c>
      <c r="DH29" s="59">
        <f t="shared" si="257"/>
        <v>-56496.216520399968</v>
      </c>
      <c r="DI29" s="59">
        <f t="shared" ref="DI29" si="258">SUM(DI30:DI35)</f>
        <v>15058.108096244709</v>
      </c>
    </row>
    <row r="30" spans="2:113" s="5" customFormat="1" x14ac:dyDescent="0.25">
      <c r="B30" s="64" t="s">
        <v>72</v>
      </c>
      <c r="C30" s="57" t="s">
        <v>210</v>
      </c>
      <c r="D30" s="51" t="s">
        <v>161</v>
      </c>
      <c r="E30" s="58">
        <v>0</v>
      </c>
      <c r="F30" s="56">
        <v>0</v>
      </c>
      <c r="G30" s="56">
        <v>0</v>
      </c>
      <c r="H30" s="56">
        <v>0</v>
      </c>
      <c r="I30" s="56">
        <v>1300</v>
      </c>
      <c r="J30" s="56">
        <v>2099.5</v>
      </c>
      <c r="K30" s="56">
        <v>1309.4000000000001</v>
      </c>
      <c r="L30" s="56">
        <v>1200.7</v>
      </c>
      <c r="M30" s="56">
        <v>1699.5</v>
      </c>
      <c r="N30" s="56">
        <v>18033.099999999999</v>
      </c>
      <c r="O30" s="56"/>
      <c r="P30" s="59">
        <v>712.7</v>
      </c>
      <c r="Q30" s="56">
        <v>0</v>
      </c>
      <c r="R30" s="56">
        <v>2640.9</v>
      </c>
      <c r="S30" s="56">
        <v>0</v>
      </c>
      <c r="T30" s="56">
        <v>0</v>
      </c>
      <c r="U30" s="56">
        <v>5542.99</v>
      </c>
      <c r="V30" s="56">
        <v>2204.8000000000002</v>
      </c>
      <c r="W30" s="56">
        <v>2335.8000000000002</v>
      </c>
      <c r="X30" s="60"/>
      <c r="Y30" s="56">
        <v>2241.1999999999998</v>
      </c>
      <c r="Z30" s="56">
        <v>1725.748</v>
      </c>
      <c r="AA30" s="56">
        <v>4012.9720000000002</v>
      </c>
      <c r="AB30" s="59">
        <v>4434.8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61"/>
      <c r="AK30" s="61"/>
      <c r="AL30" s="61"/>
      <c r="AM30" s="61"/>
      <c r="AN30" s="62"/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6">
        <v>0</v>
      </c>
      <c r="BN30" s="56">
        <v>0</v>
      </c>
      <c r="BO30" s="56">
        <v>0</v>
      </c>
      <c r="BP30" s="56">
        <v>0</v>
      </c>
      <c r="BQ30" s="56">
        <v>0</v>
      </c>
      <c r="BR30" s="56">
        <v>0</v>
      </c>
      <c r="BS30" s="56">
        <v>0</v>
      </c>
      <c r="BT30" s="56">
        <v>0</v>
      </c>
      <c r="BU30" s="56">
        <v>0</v>
      </c>
      <c r="BV30" s="56">
        <v>0</v>
      </c>
      <c r="BW30" s="56">
        <v>0</v>
      </c>
      <c r="BX30" s="56">
        <v>0</v>
      </c>
      <c r="BY30" s="56">
        <v>0</v>
      </c>
      <c r="BZ30" s="56">
        <v>0</v>
      </c>
      <c r="CA30" s="56">
        <v>0</v>
      </c>
      <c r="CB30" s="56">
        <v>0</v>
      </c>
      <c r="CC30" s="56">
        <v>0</v>
      </c>
      <c r="CD30" s="56">
        <v>0</v>
      </c>
      <c r="CE30" s="56">
        <v>0</v>
      </c>
      <c r="CF30" s="56">
        <v>0</v>
      </c>
      <c r="CG30" s="56">
        <v>0</v>
      </c>
      <c r="CH30" s="56">
        <v>0</v>
      </c>
      <c r="CI30" s="56">
        <v>0</v>
      </c>
      <c r="CJ30" s="56">
        <v>0</v>
      </c>
      <c r="CK30" s="56">
        <v>0</v>
      </c>
      <c r="CL30" s="56">
        <v>0</v>
      </c>
      <c r="CM30" s="56">
        <v>0</v>
      </c>
      <c r="CN30" s="56">
        <v>0</v>
      </c>
      <c r="CO30" s="56">
        <v>0</v>
      </c>
      <c r="CP30" s="56">
        <v>0</v>
      </c>
      <c r="CQ30" s="56">
        <v>0</v>
      </c>
      <c r="CR30" s="56">
        <v>0</v>
      </c>
      <c r="CS30" s="56">
        <v>0</v>
      </c>
      <c r="CT30" s="56">
        <v>0</v>
      </c>
      <c r="CU30" s="56">
        <v>0</v>
      </c>
      <c r="CV30" s="56">
        <v>0</v>
      </c>
      <c r="CW30" s="56">
        <v>0</v>
      </c>
      <c r="CX30" s="56">
        <v>0</v>
      </c>
      <c r="CY30" s="56">
        <v>0</v>
      </c>
      <c r="CZ30" s="59">
        <v>0</v>
      </c>
      <c r="DA30" s="59">
        <v>0</v>
      </c>
      <c r="DB30" s="59">
        <v>0</v>
      </c>
      <c r="DC30" s="59">
        <v>0</v>
      </c>
      <c r="DD30" s="59">
        <v>0</v>
      </c>
      <c r="DE30" s="59">
        <v>0</v>
      </c>
      <c r="DF30" s="59">
        <v>0</v>
      </c>
      <c r="DG30" s="59">
        <v>0</v>
      </c>
      <c r="DH30" s="59">
        <v>0</v>
      </c>
      <c r="DI30" s="59">
        <v>0</v>
      </c>
    </row>
    <row r="31" spans="2:113" s="5" customFormat="1" x14ac:dyDescent="0.25">
      <c r="B31" s="64" t="s">
        <v>73</v>
      </c>
      <c r="C31" s="57" t="s">
        <v>63</v>
      </c>
      <c r="D31" s="51" t="s">
        <v>162</v>
      </c>
      <c r="E31" s="58">
        <v>18.100000000000001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9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9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15000</v>
      </c>
      <c r="AN31" s="59">
        <v>0</v>
      </c>
      <c r="AO31" s="56">
        <v>0</v>
      </c>
      <c r="AP31" s="56">
        <v>0</v>
      </c>
      <c r="AQ31" s="56">
        <v>6222.5</v>
      </c>
      <c r="AR31" s="56">
        <v>0</v>
      </c>
      <c r="AS31" s="56">
        <v>12506.2</v>
      </c>
      <c r="AT31" s="56">
        <v>0</v>
      </c>
      <c r="AU31" s="56">
        <v>0</v>
      </c>
      <c r="AV31" s="56">
        <v>8049.2</v>
      </c>
      <c r="AW31" s="56"/>
      <c r="AX31" s="56"/>
      <c r="AY31" s="56">
        <v>13615.656999999999</v>
      </c>
      <c r="AZ31" s="56">
        <v>0</v>
      </c>
      <c r="BA31" s="56">
        <v>13028.439080280001</v>
      </c>
      <c r="BB31" s="56">
        <v>21657.509469500001</v>
      </c>
      <c r="BC31" s="56">
        <v>0</v>
      </c>
      <c r="BD31" s="56">
        <v>0</v>
      </c>
      <c r="BE31" s="56">
        <v>0</v>
      </c>
      <c r="BF31" s="56">
        <v>0</v>
      </c>
      <c r="BG31" s="56">
        <v>0</v>
      </c>
      <c r="BH31" s="56">
        <v>5877.6016069400002</v>
      </c>
      <c r="BI31" s="56">
        <v>0</v>
      </c>
      <c r="BJ31" s="56">
        <v>5438.13477169</v>
      </c>
      <c r="BK31" s="56">
        <v>0</v>
      </c>
      <c r="BL31" s="56">
        <v>5128.2033694100001</v>
      </c>
      <c r="BM31" s="56">
        <v>7478.8118906899999</v>
      </c>
      <c r="BN31" s="56">
        <v>6105.6317388999996</v>
      </c>
      <c r="BO31" s="56">
        <v>4000</v>
      </c>
      <c r="BP31" s="56">
        <v>18126.613323649999</v>
      </c>
      <c r="BQ31" s="56">
        <v>6353.3751910600004</v>
      </c>
      <c r="BR31" s="56">
        <v>0</v>
      </c>
      <c r="BS31" s="56">
        <v>4185.9746345499998</v>
      </c>
      <c r="BT31" s="56">
        <v>6424.7653041100002</v>
      </c>
      <c r="BU31" s="56">
        <v>0</v>
      </c>
      <c r="BV31" s="56">
        <v>3330</v>
      </c>
      <c r="BW31" s="56">
        <v>0</v>
      </c>
      <c r="BX31" s="56">
        <v>0</v>
      </c>
      <c r="BY31" s="56">
        <v>4984.6616787700004</v>
      </c>
      <c r="BZ31" s="56">
        <v>7560.7378951500004</v>
      </c>
      <c r="CA31" s="56">
        <v>0</v>
      </c>
      <c r="CB31" s="56">
        <v>15423.35445875</v>
      </c>
      <c r="CC31" s="56">
        <v>0</v>
      </c>
      <c r="CD31" s="56">
        <v>0</v>
      </c>
      <c r="CE31" s="56">
        <v>8113.5424932799997</v>
      </c>
      <c r="CF31" s="56">
        <v>0</v>
      </c>
      <c r="CG31" s="56">
        <v>0</v>
      </c>
      <c r="CH31" s="56">
        <v>0</v>
      </c>
      <c r="CI31" s="56">
        <v>0</v>
      </c>
      <c r="CJ31" s="56">
        <v>17531.694</v>
      </c>
      <c r="CK31" s="56">
        <v>2688.6229524400001</v>
      </c>
      <c r="CL31" s="56">
        <v>6695.9271271099997</v>
      </c>
      <c r="CM31" s="56">
        <v>0</v>
      </c>
      <c r="CN31" s="56">
        <v>7694.1882608599999</v>
      </c>
      <c r="CO31" s="56">
        <v>11637.72166275</v>
      </c>
      <c r="CP31" s="56">
        <v>0</v>
      </c>
      <c r="CQ31" s="56">
        <v>93869.03565238</v>
      </c>
      <c r="CR31" s="56">
        <v>0</v>
      </c>
      <c r="CS31" s="56">
        <v>0</v>
      </c>
      <c r="CT31" s="56">
        <v>0</v>
      </c>
      <c r="CU31" s="56">
        <v>12080.86128393</v>
      </c>
      <c r="CV31" s="56">
        <f>4756.7218758+4366.10318495</f>
        <v>9122.8250607499995</v>
      </c>
      <c r="CW31" s="56">
        <v>2972.9077050800001</v>
      </c>
      <c r="CX31" s="56">
        <f>4083.33445221+6268.92620952</f>
        <v>10352.260661730001</v>
      </c>
      <c r="CY31" s="56">
        <v>0</v>
      </c>
      <c r="CZ31" s="59">
        <f>4084.5054023+8169.14500002</f>
        <v>12253.65040232</v>
      </c>
      <c r="DA31" s="59">
        <f>3064.37691912+3214.7939575</f>
        <v>6279.1708766199999</v>
      </c>
      <c r="DB31" s="59">
        <v>0</v>
      </c>
      <c r="DC31" s="59">
        <v>5276.5772179899996</v>
      </c>
      <c r="DD31" s="59">
        <v>10718.14209698</v>
      </c>
      <c r="DE31" s="59">
        <v>5800</v>
      </c>
      <c r="DF31" s="59">
        <v>0</v>
      </c>
      <c r="DG31" s="59">
        <v>0</v>
      </c>
      <c r="DH31" s="59">
        <v>0</v>
      </c>
      <c r="DI31" s="59">
        <v>2095.4533755000002</v>
      </c>
    </row>
    <row r="32" spans="2:113" s="5" customFormat="1" x14ac:dyDescent="0.25">
      <c r="B32" s="64" t="s">
        <v>74</v>
      </c>
      <c r="C32" s="57" t="s">
        <v>211</v>
      </c>
      <c r="D32" s="51" t="s">
        <v>163</v>
      </c>
      <c r="E32" s="58">
        <v>1179.4000000000001</v>
      </c>
      <c r="F32" s="56">
        <v>1179.3</v>
      </c>
      <c r="G32" s="56">
        <v>872.5</v>
      </c>
      <c r="H32" s="56">
        <v>1175.8</v>
      </c>
      <c r="I32" s="56">
        <v>1175.3</v>
      </c>
      <c r="J32" s="56">
        <v>1175.5</v>
      </c>
      <c r="K32" s="56">
        <v>1175.8</v>
      </c>
      <c r="L32" s="56">
        <v>1115.3</v>
      </c>
      <c r="M32" s="56">
        <v>1174.9000000000001</v>
      </c>
      <c r="N32" s="56">
        <v>1174.2</v>
      </c>
      <c r="O32" s="56">
        <v>1173.4000000000001</v>
      </c>
      <c r="P32" s="59">
        <v>1175.5</v>
      </c>
      <c r="Q32" s="56">
        <v>1172.5</v>
      </c>
      <c r="R32" s="56">
        <v>1172.5999999999999</v>
      </c>
      <c r="S32" s="56">
        <v>1174.4000000000001</v>
      </c>
      <c r="T32" s="56">
        <v>1174.7</v>
      </c>
      <c r="U32" s="56">
        <v>1175.2</v>
      </c>
      <c r="V32" s="56">
        <v>1175.2</v>
      </c>
      <c r="W32" s="56">
        <v>1175.9000000000001</v>
      </c>
      <c r="X32" s="56">
        <v>1176.8</v>
      </c>
      <c r="Y32" s="56">
        <v>1177.5</v>
      </c>
      <c r="Z32" s="56">
        <v>1177.9000000000001</v>
      </c>
      <c r="AA32" s="56">
        <v>1177.5</v>
      </c>
      <c r="AB32" s="59">
        <v>1178.4000000000001</v>
      </c>
      <c r="AC32" s="56">
        <v>1178.5</v>
      </c>
      <c r="AD32" s="56">
        <v>1178.8</v>
      </c>
      <c r="AE32" s="56">
        <v>1179</v>
      </c>
      <c r="AF32" s="56">
        <v>1179.0999999999999</v>
      </c>
      <c r="AG32" s="56">
        <v>1084.8</v>
      </c>
      <c r="AH32" s="56">
        <v>1179.7</v>
      </c>
      <c r="AI32" s="56">
        <v>1179.9000000000001</v>
      </c>
      <c r="AJ32" s="56">
        <v>1180.4000000000001</v>
      </c>
      <c r="AK32" s="56">
        <v>1128.9000000000001</v>
      </c>
      <c r="AL32" s="56">
        <v>1172.7</v>
      </c>
      <c r="AM32" s="56">
        <v>1181.3</v>
      </c>
      <c r="AN32" s="59">
        <v>1181.4000000000001</v>
      </c>
      <c r="AO32" s="56">
        <v>1181.5</v>
      </c>
      <c r="AP32" s="56">
        <v>1308.5999999999999</v>
      </c>
      <c r="AQ32" s="56">
        <v>1130.8</v>
      </c>
      <c r="AR32" s="56">
        <v>1181.0999999999999</v>
      </c>
      <c r="AS32" s="56">
        <v>1410.3</v>
      </c>
      <c r="AT32" s="56">
        <v>1168.9000000000001</v>
      </c>
      <c r="AU32" s="56">
        <v>1181.3</v>
      </c>
      <c r="AV32" s="56">
        <v>1485.4</v>
      </c>
      <c r="AW32" s="56">
        <v>1180</v>
      </c>
      <c r="AX32" s="56">
        <v>1180.454</v>
      </c>
      <c r="AY32" s="56">
        <v>1561.9670000000001</v>
      </c>
      <c r="AZ32" s="56">
        <v>1179.9590000000001</v>
      </c>
      <c r="BA32" s="56">
        <v>1744.50475665</v>
      </c>
      <c r="BB32" s="56">
        <v>1746.12137882</v>
      </c>
      <c r="BC32" s="56">
        <v>1173.7</v>
      </c>
      <c r="BD32" s="56">
        <v>1174</v>
      </c>
      <c r="BE32" s="56">
        <v>1747.3990769699999</v>
      </c>
      <c r="BF32" s="56">
        <v>1176.74876113</v>
      </c>
      <c r="BG32" s="56">
        <v>5351.1681612399998</v>
      </c>
      <c r="BH32" s="56">
        <v>1755.9255685099999</v>
      </c>
      <c r="BI32" s="56">
        <v>1180.26344793</v>
      </c>
      <c r="BJ32" s="56">
        <v>1761.13606325</v>
      </c>
      <c r="BK32" s="56">
        <v>1767.03762803</v>
      </c>
      <c r="BL32" s="56">
        <v>1186.23883381</v>
      </c>
      <c r="BM32" s="56">
        <v>1384.86888731</v>
      </c>
      <c r="BN32" s="56">
        <v>2069.7948744199998</v>
      </c>
      <c r="BO32" s="56">
        <v>1386.4389097999999</v>
      </c>
      <c r="BP32" s="56">
        <v>1389.43748794</v>
      </c>
      <c r="BQ32" s="56">
        <v>2079.3058279299999</v>
      </c>
      <c r="BR32" s="56">
        <v>1390.56707198</v>
      </c>
      <c r="BS32" s="56">
        <v>2079.5753993399999</v>
      </c>
      <c r="BT32" s="56">
        <v>2079.1412759999998</v>
      </c>
      <c r="BU32" s="56">
        <v>1145.73790108</v>
      </c>
      <c r="BV32" s="56">
        <v>2077.5273815300002</v>
      </c>
      <c r="BW32" s="56">
        <v>2076.8996030899998</v>
      </c>
      <c r="BX32" s="56">
        <v>1388.6991483700001</v>
      </c>
      <c r="BY32" s="56">
        <v>1388.6367332100001</v>
      </c>
      <c r="BZ32" s="56">
        <v>2176.69863046</v>
      </c>
      <c r="CA32" s="56">
        <v>1390.25461567</v>
      </c>
      <c r="CB32" s="56">
        <v>2178.5576857900001</v>
      </c>
      <c r="CC32" s="56">
        <v>2178.5293646199998</v>
      </c>
      <c r="CD32" s="56">
        <v>1390.91571729</v>
      </c>
      <c r="CE32" s="56">
        <v>2210.41678146</v>
      </c>
      <c r="CF32" s="56">
        <v>2078.2946174499998</v>
      </c>
      <c r="CG32" s="56">
        <v>1390.62358621</v>
      </c>
      <c r="CH32" s="56">
        <v>1395.02955866</v>
      </c>
      <c r="CI32" s="56">
        <v>2196.1725725599999</v>
      </c>
      <c r="CJ32" s="56">
        <f>696.78649578+693.78640657</f>
        <v>1390.57290235</v>
      </c>
      <c r="CK32" s="56">
        <v>2189.2405782400001</v>
      </c>
      <c r="CL32" s="56">
        <v>2185.7283901599999</v>
      </c>
      <c r="CM32" s="56">
        <f>697.77450349+695.27916015+2.0603939</f>
        <v>1395.1140575400002</v>
      </c>
      <c r="CN32" s="56">
        <f>698.0871634+790.66404227+695.73989174+4.39855929</f>
        <v>2188.8896566999997</v>
      </c>
      <c r="CO32" s="56">
        <f>698.02912808+695.62352745+790.2233874+10.05959274</f>
        <v>2193.93563567</v>
      </c>
      <c r="CP32" s="56">
        <f>698.00981536+695.37718781+2.10977252</f>
        <v>1395.4967756899998</v>
      </c>
      <c r="CQ32" s="56">
        <v>1389.2728999999999</v>
      </c>
      <c r="CR32" s="56">
        <v>2193.4525838700001</v>
      </c>
      <c r="CS32" s="56">
        <v>1397.35102067</v>
      </c>
      <c r="CT32" s="56">
        <v>2193.4525838700001</v>
      </c>
      <c r="CU32" s="56">
        <v>2180.5298622400001</v>
      </c>
      <c r="CV32" s="56">
        <f>1394.06512445+7.09559775999451</f>
        <v>1401.1607222099944</v>
      </c>
      <c r="CW32" s="56">
        <v>2178.6119692100001</v>
      </c>
      <c r="CX32" s="56">
        <v>2189.7111459600001</v>
      </c>
      <c r="CY32" s="56">
        <v>1395.44939039</v>
      </c>
      <c r="CZ32" s="59">
        <v>1395.06</v>
      </c>
      <c r="DA32" s="59">
        <v>2190.1507750700002</v>
      </c>
      <c r="DB32" s="59">
        <v>1393.58647817</v>
      </c>
      <c r="DC32" s="59">
        <v>2169.5958876200002</v>
      </c>
      <c r="DD32" s="59">
        <v>2165.4987226200001</v>
      </c>
      <c r="DE32" s="59">
        <v>1379.8401352200001</v>
      </c>
      <c r="DF32" s="59">
        <v>2155.6025891300001</v>
      </c>
      <c r="DG32" s="59">
        <v>2196.1725725599999</v>
      </c>
      <c r="DH32" s="59">
        <v>1370.8773747600001</v>
      </c>
      <c r="DI32" s="59">
        <v>1177.48937308</v>
      </c>
    </row>
    <row r="33" spans="2:136" s="5" customFormat="1" x14ac:dyDescent="0.25">
      <c r="B33" s="64" t="s">
        <v>75</v>
      </c>
      <c r="C33" s="57" t="s">
        <v>212</v>
      </c>
      <c r="D33" s="51" t="s">
        <v>164</v>
      </c>
      <c r="E33" s="58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60"/>
      <c r="M33" s="60"/>
      <c r="N33" s="60"/>
      <c r="O33" s="60"/>
      <c r="P33" s="63"/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60"/>
      <c r="Y33" s="60"/>
      <c r="Z33" s="60"/>
      <c r="AA33" s="60"/>
      <c r="AB33" s="63"/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61"/>
      <c r="AK33" s="61"/>
      <c r="AL33" s="61"/>
      <c r="AM33" s="61"/>
      <c r="AN33" s="62"/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  <c r="BA33" s="56">
        <v>0</v>
      </c>
      <c r="BB33" s="56">
        <v>0</v>
      </c>
      <c r="BC33" s="56">
        <v>0</v>
      </c>
      <c r="BD33" s="56">
        <v>0</v>
      </c>
      <c r="BE33" s="56">
        <v>0</v>
      </c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6">
        <v>0</v>
      </c>
      <c r="BL33" s="56">
        <v>0</v>
      </c>
      <c r="BM33" s="56">
        <v>0</v>
      </c>
      <c r="BN33" s="56">
        <v>0</v>
      </c>
      <c r="BO33" s="56">
        <v>0</v>
      </c>
      <c r="BP33" s="56">
        <v>0</v>
      </c>
      <c r="BQ33" s="56">
        <v>0</v>
      </c>
      <c r="BR33" s="56">
        <v>0</v>
      </c>
      <c r="BS33" s="56">
        <v>0</v>
      </c>
      <c r="BT33" s="56">
        <v>0</v>
      </c>
      <c r="BU33" s="56">
        <v>0</v>
      </c>
      <c r="BV33" s="56">
        <v>0</v>
      </c>
      <c r="BW33" s="56">
        <v>0</v>
      </c>
      <c r="BX33" s="56">
        <v>0</v>
      </c>
      <c r="BY33" s="56">
        <v>0</v>
      </c>
      <c r="BZ33" s="56">
        <v>0</v>
      </c>
      <c r="CA33" s="56">
        <v>0</v>
      </c>
      <c r="CB33" s="56">
        <v>0</v>
      </c>
      <c r="CC33" s="56">
        <v>0</v>
      </c>
      <c r="CD33" s="56">
        <v>0</v>
      </c>
      <c r="CE33" s="56">
        <v>0</v>
      </c>
      <c r="CF33" s="56">
        <v>0</v>
      </c>
      <c r="CG33" s="56">
        <v>0</v>
      </c>
      <c r="CH33" s="56">
        <v>0</v>
      </c>
      <c r="CI33" s="56">
        <v>0</v>
      </c>
      <c r="CJ33" s="56">
        <v>0</v>
      </c>
      <c r="CK33" s="56">
        <v>0</v>
      </c>
      <c r="CL33" s="56">
        <v>0</v>
      </c>
      <c r="CM33" s="56">
        <v>0</v>
      </c>
      <c r="CN33" s="56">
        <v>0</v>
      </c>
      <c r="CO33" s="56">
        <v>0</v>
      </c>
      <c r="CP33" s="56">
        <v>0</v>
      </c>
      <c r="CQ33" s="56">
        <v>0</v>
      </c>
      <c r="CR33" s="56">
        <v>0</v>
      </c>
      <c r="CS33" s="56">
        <v>0</v>
      </c>
      <c r="CT33" s="56">
        <v>0</v>
      </c>
      <c r="CU33" s="56">
        <v>0</v>
      </c>
      <c r="CV33" s="56">
        <v>0</v>
      </c>
      <c r="CW33" s="56">
        <v>0</v>
      </c>
      <c r="CX33" s="56">
        <v>0</v>
      </c>
      <c r="CY33" s="56">
        <v>0</v>
      </c>
      <c r="CZ33" s="59">
        <v>0</v>
      </c>
      <c r="DA33" s="59">
        <v>0</v>
      </c>
      <c r="DB33" s="59">
        <v>0</v>
      </c>
      <c r="DC33" s="59">
        <v>0</v>
      </c>
      <c r="DD33" s="59">
        <v>0</v>
      </c>
      <c r="DE33" s="59">
        <v>0</v>
      </c>
      <c r="DF33" s="59">
        <v>0</v>
      </c>
      <c r="DG33" s="59">
        <v>0</v>
      </c>
      <c r="DH33" s="59">
        <v>0</v>
      </c>
      <c r="DI33" s="59">
        <v>0</v>
      </c>
    </row>
    <row r="34" spans="2:136" s="5" customFormat="1" x14ac:dyDescent="0.25">
      <c r="B34" s="64" t="s">
        <v>76</v>
      </c>
      <c r="C34" s="57" t="s">
        <v>213</v>
      </c>
      <c r="D34" s="51" t="s">
        <v>165</v>
      </c>
      <c r="E34" s="56">
        <f t="shared" ref="E34:BO34" si="259">-E27-E36-(E30+E31+E32+E33+E35+E42+E41)</f>
        <v>2303.7999999999993</v>
      </c>
      <c r="F34" s="56">
        <f t="shared" si="259"/>
        <v>-3541.0909999999994</v>
      </c>
      <c r="G34" s="56">
        <f t="shared" si="259"/>
        <v>2033.3999999999901</v>
      </c>
      <c r="H34" s="56">
        <f t="shared" si="259"/>
        <v>2303.4000000000005</v>
      </c>
      <c r="I34" s="56">
        <f t="shared" si="259"/>
        <v>13465.000000000002</v>
      </c>
      <c r="J34" s="56">
        <f t="shared" si="259"/>
        <v>-6935.2</v>
      </c>
      <c r="K34" s="56">
        <f t="shared" si="259"/>
        <v>3986.7699999999936</v>
      </c>
      <c r="L34" s="56">
        <f t="shared" si="259"/>
        <v>6281.1999999999989</v>
      </c>
      <c r="M34" s="56">
        <f t="shared" si="259"/>
        <v>-19347.829999999998</v>
      </c>
      <c r="N34" s="56">
        <f t="shared" si="259"/>
        <v>10285.200000000001</v>
      </c>
      <c r="O34" s="56">
        <f t="shared" si="259"/>
        <v>24268.300000000003</v>
      </c>
      <c r="P34" s="56">
        <f t="shared" si="259"/>
        <v>-23727.899999999994</v>
      </c>
      <c r="Q34" s="56">
        <f t="shared" si="259"/>
        <v>11960.900000000005</v>
      </c>
      <c r="R34" s="56">
        <f t="shared" si="259"/>
        <v>2755.2000000000016</v>
      </c>
      <c r="S34" s="56">
        <f t="shared" si="259"/>
        <v>-3814.5099999999998</v>
      </c>
      <c r="T34" s="56">
        <f t="shared" si="259"/>
        <v>-82749.610000000015</v>
      </c>
      <c r="U34" s="56">
        <f t="shared" si="259"/>
        <v>8074.3100000000013</v>
      </c>
      <c r="V34" s="56">
        <f t="shared" si="259"/>
        <v>-11636.230000000005</v>
      </c>
      <c r="W34" s="56">
        <f t="shared" si="259"/>
        <v>28760.799999999988</v>
      </c>
      <c r="X34" s="56">
        <f t="shared" si="259"/>
        <v>-490.40000000000668</v>
      </c>
      <c r="Y34" s="56">
        <f t="shared" si="259"/>
        <v>4209.3000000000047</v>
      </c>
      <c r="Z34" s="56">
        <f t="shared" si="259"/>
        <v>3898.3519999999953</v>
      </c>
      <c r="AA34" s="56">
        <f t="shared" si="259"/>
        <v>8251.0279999999948</v>
      </c>
      <c r="AB34" s="56">
        <f t="shared" si="259"/>
        <v>-43018.51</v>
      </c>
      <c r="AC34" s="56">
        <f t="shared" si="259"/>
        <v>17721.199999999997</v>
      </c>
      <c r="AD34" s="56">
        <f t="shared" si="259"/>
        <v>359.89999999999645</v>
      </c>
      <c r="AE34" s="56">
        <f t="shared" si="259"/>
        <v>30523.599999999995</v>
      </c>
      <c r="AF34" s="56">
        <f t="shared" si="259"/>
        <v>-28081.100000000009</v>
      </c>
      <c r="AG34" s="56">
        <f t="shared" si="259"/>
        <v>-8567.1999999999971</v>
      </c>
      <c r="AH34" s="56">
        <f t="shared" si="259"/>
        <v>-7906.2000000000007</v>
      </c>
      <c r="AI34" s="56">
        <f t="shared" si="259"/>
        <v>3785.7000000000025</v>
      </c>
      <c r="AJ34" s="56">
        <f t="shared" si="259"/>
        <v>7400.2000000000062</v>
      </c>
      <c r="AK34" s="56">
        <f t="shared" si="259"/>
        <v>-789.44999999999141</v>
      </c>
      <c r="AL34" s="56">
        <f t="shared" si="259"/>
        <v>16339.199999999992</v>
      </c>
      <c r="AM34" s="56">
        <f t="shared" si="259"/>
        <v>43202.5</v>
      </c>
      <c r="AN34" s="56">
        <f t="shared" si="259"/>
        <v>-31050.30000000001</v>
      </c>
      <c r="AO34" s="56">
        <f t="shared" si="259"/>
        <v>12742.259000000002</v>
      </c>
      <c r="AP34" s="56">
        <f t="shared" si="259"/>
        <v>-1655.7169180000026</v>
      </c>
      <c r="AQ34" s="56">
        <f t="shared" si="259"/>
        <v>824.86099999999897</v>
      </c>
      <c r="AR34" s="56">
        <f t="shared" si="259"/>
        <v>-4381.3840000000073</v>
      </c>
      <c r="AS34" s="56">
        <f t="shared" si="259"/>
        <v>-12651.247032809997</v>
      </c>
      <c r="AT34" s="56">
        <f t="shared" si="259"/>
        <v>9277.1749999999865</v>
      </c>
      <c r="AU34" s="56">
        <f t="shared" si="259"/>
        <v>13168.135000000004</v>
      </c>
      <c r="AV34" s="56">
        <f t="shared" si="259"/>
        <v>-5986.0000000000073</v>
      </c>
      <c r="AW34" s="56">
        <f t="shared" si="259"/>
        <v>-10173.299999999999</v>
      </c>
      <c r="AX34" s="56">
        <f t="shared" si="259"/>
        <v>7391.6919999999964</v>
      </c>
      <c r="AY34" s="56">
        <f t="shared" si="259"/>
        <v>-3051.0539999999964</v>
      </c>
      <c r="AZ34" s="56">
        <f t="shared" si="259"/>
        <v>-31071.155999999984</v>
      </c>
      <c r="BA34" s="56">
        <f t="shared" si="259"/>
        <v>-4667.6677970014043</v>
      </c>
      <c r="BB34" s="56">
        <f t="shared" si="259"/>
        <v>41385.887395491809</v>
      </c>
      <c r="BC34" s="56">
        <f t="shared" si="259"/>
        <v>18555.7118702142</v>
      </c>
      <c r="BD34" s="56">
        <f t="shared" si="259"/>
        <v>-10140.224610715508</v>
      </c>
      <c r="BE34" s="56">
        <f t="shared" si="259"/>
        <v>-106020.3356013289</v>
      </c>
      <c r="BF34" s="56">
        <f t="shared" si="259"/>
        <v>71917.18778354059</v>
      </c>
      <c r="BG34" s="56">
        <f t="shared" si="259"/>
        <v>8056.9148409199915</v>
      </c>
      <c r="BH34" s="56">
        <f t="shared" si="259"/>
        <v>865.20490486609924</v>
      </c>
      <c r="BI34" s="56">
        <f t="shared" si="259"/>
        <v>-15984.274764204987</v>
      </c>
      <c r="BJ34" s="56">
        <f t="shared" si="259"/>
        <v>2349.408156301799</v>
      </c>
      <c r="BK34" s="56">
        <f t="shared" si="259"/>
        <v>22343.386599193309</v>
      </c>
      <c r="BL34" s="56">
        <f t="shared" si="259"/>
        <v>-9366.9466083878051</v>
      </c>
      <c r="BM34" s="56">
        <f t="shared" si="259"/>
        <v>207.02812000086942</v>
      </c>
      <c r="BN34" s="56">
        <f t="shared" si="259"/>
        <v>-13019.871118909607</v>
      </c>
      <c r="BO34" s="56">
        <f t="shared" si="259"/>
        <v>3561.9300978736924</v>
      </c>
      <c r="BP34" s="56">
        <f t="shared" ref="BP34:BU34" si="260">-BP27-BP36-(BP30+BP31+BP32+BP33+BP35+BP42+BP41)</f>
        <v>46482.882011427937</v>
      </c>
      <c r="BQ34" s="56">
        <f t="shared" si="260"/>
        <v>5630.0722190310007</v>
      </c>
      <c r="BR34" s="56">
        <f t="shared" si="260"/>
        <v>-20336.100339979388</v>
      </c>
      <c r="BS34" s="56">
        <f t="shared" si="260"/>
        <v>4102.3506581019974</v>
      </c>
      <c r="BT34" s="56">
        <f t="shared" si="260"/>
        <v>-551.12593228199921</v>
      </c>
      <c r="BU34" s="56">
        <f t="shared" si="260"/>
        <v>-20864.314401690008</v>
      </c>
      <c r="BV34" s="56">
        <f t="shared" ref="BV34:CB34" si="261">-BV27-BV36-(BV30+BV31+BV32+BV33+BV35+BV42+BV41)</f>
        <v>-7016.0523119533991</v>
      </c>
      <c r="BW34" s="56">
        <f t="shared" si="261"/>
        <v>11443.311515996054</v>
      </c>
      <c r="BX34" s="56">
        <f t="shared" si="261"/>
        <v>-8073.0517213609128</v>
      </c>
      <c r="BY34" s="56">
        <f t="shared" si="261"/>
        <v>484.6669333466034</v>
      </c>
      <c r="BZ34" s="56">
        <f t="shared" si="261"/>
        <v>-8424.377354924989</v>
      </c>
      <c r="CA34" s="56">
        <f t="shared" si="261"/>
        <v>-2672.4788302031066</v>
      </c>
      <c r="CB34" s="56">
        <f t="shared" si="261"/>
        <v>23720.746079840723</v>
      </c>
      <c r="CC34" s="56">
        <f t="shared" ref="CC34" si="262">-CC27-CC36-(CC30+CC31+CC32+CC33+CC35+CC42+CC41)</f>
        <v>5345.3588159887468</v>
      </c>
      <c r="CD34" s="56">
        <f t="shared" ref="CD34" si="263">-CD27-CD36-(CD30+CD31+CD32+CD33+CD35+CD42+CD41)</f>
        <v>-28619.310363601919</v>
      </c>
      <c r="CE34" s="56">
        <f t="shared" ref="CE34:CJ34" si="264">-CE27-CE36-(CE30+CE31+CE32+CE33+CE35+CE42+CE41)</f>
        <v>-18525.384707770143</v>
      </c>
      <c r="CF34" s="67">
        <f t="shared" si="264"/>
        <v>4976.7559559910032</v>
      </c>
      <c r="CG34" s="56">
        <f t="shared" si="264"/>
        <v>-9311.0363565595981</v>
      </c>
      <c r="CH34" s="56">
        <f t="shared" si="264"/>
        <v>13099.514139852407</v>
      </c>
      <c r="CI34" s="56">
        <f t="shared" si="264"/>
        <v>12880.961360016205</v>
      </c>
      <c r="CJ34" s="56">
        <f t="shared" si="264"/>
        <v>-35615.392698735304</v>
      </c>
      <c r="CK34" s="56">
        <f>-CK27-CK36-(CK30+CK31+CK32+CK33+CK35+CK42+CK41)</f>
        <v>13210.992442871497</v>
      </c>
      <c r="CL34" s="56">
        <f t="shared" ref="CL34:CN34" si="265">-CL27-CL36-(CL30+CL31+CL32+CL33+CL35+CL42+CL41)</f>
        <v>7965.6368983998163</v>
      </c>
      <c r="CM34" s="56">
        <f t="shared" ref="CM34" si="266">-CM27-CM36-(CM30+CM31+CM32+CM33+CM35+CM42+CM41)</f>
        <v>7362.4242645037884</v>
      </c>
      <c r="CN34" s="56">
        <f t="shared" si="265"/>
        <v>27621.8338785866</v>
      </c>
      <c r="CO34" s="56">
        <f t="shared" ref="CO34:CP34" si="267">-CO27-CO36-(CO30+CO31+CO32+CO33+CO35+CO42+CO41)</f>
        <v>13616.217567376198</v>
      </c>
      <c r="CP34" s="56">
        <f t="shared" si="267"/>
        <v>11605.741812324501</v>
      </c>
      <c r="CQ34" s="56">
        <f t="shared" ref="CQ34" si="268">-CQ27-CQ36-(CQ30+CQ31+CQ32+CQ33+CQ35+CQ42+CQ41)</f>
        <v>-8664.1445537406998</v>
      </c>
      <c r="CR34" s="56">
        <f t="shared" ref="CR34:CX34" si="269">-CR27-CR36-(CR30+CR31+CR32+CR33+CR35+CR42+CR41)</f>
        <v>7851.474826664502</v>
      </c>
      <c r="CS34" s="56">
        <f t="shared" si="269"/>
        <v>-6252.3030450813831</v>
      </c>
      <c r="CT34" s="56">
        <f t="shared" si="269"/>
        <v>15872.040602141145</v>
      </c>
      <c r="CU34" s="56">
        <f t="shared" si="269"/>
        <v>962.59290258881265</v>
      </c>
      <c r="CV34" s="56">
        <f t="shared" si="269"/>
        <v>-59853.03397022147</v>
      </c>
      <c r="CW34" s="56">
        <f t="shared" si="269"/>
        <v>-21316.370526744435</v>
      </c>
      <c r="CX34" s="56">
        <f t="shared" si="269"/>
        <v>28093.890260760185</v>
      </c>
      <c r="CY34" s="56">
        <f t="shared" ref="CY34:CZ34" si="270">-CY27-CY36-(CY30+CY31+CY32+CY33+CY35+CY42+CY41)</f>
        <v>-5115.5343095432008</v>
      </c>
      <c r="CZ34" s="59">
        <f t="shared" si="270"/>
        <v>13263.194739819104</v>
      </c>
      <c r="DA34" s="59">
        <f t="shared" ref="DA34:DB34" si="271">-DA27-DA36-(DA30+DA31+DA32+DA33+DA35+DA42+DA41)</f>
        <v>9514.6353110001</v>
      </c>
      <c r="DB34" s="59">
        <f t="shared" si="271"/>
        <v>-5760.7784556449005</v>
      </c>
      <c r="DC34" s="59">
        <f t="shared" ref="DC34:DD34" si="272">-DC27-DC36-(DC30+DC31+DC32+DC33+DC35+DC42+DC41)</f>
        <v>13218.245746667735</v>
      </c>
      <c r="DD34" s="59">
        <f t="shared" si="272"/>
        <v>-11572.091585630145</v>
      </c>
      <c r="DE34" s="59">
        <f t="shared" ref="DE34:DF34" si="273">-DE27-DE36-(DE30+DE31+DE32+DE33+DE35+DE42+DE41)</f>
        <v>-1985.4428935442736</v>
      </c>
      <c r="DF34" s="59">
        <f t="shared" si="273"/>
        <v>46811.864694400851</v>
      </c>
      <c r="DG34" s="59">
        <f t="shared" ref="DG34:DH34" si="274">-DG27-DG36-(DG30+DG31+DG32+DG33+DG35+DG42+DG41)</f>
        <v>-995.58676668212502</v>
      </c>
      <c r="DH34" s="59">
        <f t="shared" si="274"/>
        <v>-56479.898850099969</v>
      </c>
      <c r="DI34" s="59">
        <f t="shared" ref="DI34" si="275">-DI27-DI36-(DI30+DI31+DI32+DI33+DI35+DI42+DI41)</f>
        <v>17179.222112454707</v>
      </c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</row>
    <row r="35" spans="2:136" s="5" customFormat="1" x14ac:dyDescent="0.25">
      <c r="B35" s="64" t="s">
        <v>77</v>
      </c>
      <c r="C35" s="57" t="s">
        <v>214</v>
      </c>
      <c r="D35" s="51" t="s">
        <v>166</v>
      </c>
      <c r="E35" s="58">
        <v>-1346.3</v>
      </c>
      <c r="F35" s="56">
        <v>-1108.5</v>
      </c>
      <c r="G35" s="56">
        <v>-1526</v>
      </c>
      <c r="H35" s="56">
        <v>-1669.4</v>
      </c>
      <c r="I35" s="56">
        <v>-1474.8</v>
      </c>
      <c r="J35" s="56">
        <v>-1966.8</v>
      </c>
      <c r="K35" s="56">
        <v>-1347.1</v>
      </c>
      <c r="L35" s="56">
        <v>-1179.4000000000001</v>
      </c>
      <c r="M35" s="56">
        <v>-1573.9</v>
      </c>
      <c r="N35" s="56">
        <v>-23077.5</v>
      </c>
      <c r="O35" s="56">
        <v>-38170.300000000003</v>
      </c>
      <c r="P35" s="59">
        <v>-2164.3000000000002</v>
      </c>
      <c r="Q35" s="56">
        <v>-1344.2</v>
      </c>
      <c r="R35" s="56">
        <v>-1700.5</v>
      </c>
      <c r="S35" s="56">
        <v>-5042.5</v>
      </c>
      <c r="T35" s="56">
        <v>-1726.6</v>
      </c>
      <c r="U35" s="56">
        <v>-4159.8</v>
      </c>
      <c r="V35" s="56">
        <v>-2186.6</v>
      </c>
      <c r="W35" s="56">
        <v>-1174.3</v>
      </c>
      <c r="X35" s="56">
        <v>-1173.5</v>
      </c>
      <c r="Y35" s="56">
        <v>-2113.3000000000002</v>
      </c>
      <c r="Z35" s="56">
        <v>-1733.3</v>
      </c>
      <c r="AA35" s="56">
        <v>-5189.6000000000004</v>
      </c>
      <c r="AB35" s="59">
        <v>-2207.3000000000002</v>
      </c>
      <c r="AC35" s="56">
        <v>-1162.4000000000001</v>
      </c>
      <c r="AD35" s="56">
        <v>-1892.9</v>
      </c>
      <c r="AE35" s="56">
        <v>-2135.4</v>
      </c>
      <c r="AF35" s="56">
        <v>-1743.8</v>
      </c>
      <c r="AG35" s="56">
        <v>-1178.5</v>
      </c>
      <c r="AH35" s="56">
        <v>-1253.8</v>
      </c>
      <c r="AI35" s="56">
        <v>-1179.9000000000001</v>
      </c>
      <c r="AJ35" s="56">
        <v>-1108</v>
      </c>
      <c r="AK35" s="56">
        <v>-1512.2</v>
      </c>
      <c r="AL35" s="56">
        <v>-1128.3</v>
      </c>
      <c r="AM35" s="56">
        <v>-62089.8</v>
      </c>
      <c r="AN35" s="59">
        <v>-1333.8</v>
      </c>
      <c r="AO35" s="56">
        <v>-1181.0999999999999</v>
      </c>
      <c r="AP35" s="56">
        <v>-1180.7</v>
      </c>
      <c r="AQ35" s="56">
        <v>-1529.9</v>
      </c>
      <c r="AR35" s="56">
        <v>-1132.5</v>
      </c>
      <c r="AS35" s="56">
        <v>-6123.9</v>
      </c>
      <c r="AT35" s="56">
        <v>-10870.3</v>
      </c>
      <c r="AU35" s="56">
        <v>-1182</v>
      </c>
      <c r="AV35" s="56">
        <v>-1148.2</v>
      </c>
      <c r="AW35" s="56">
        <v>-1510.8</v>
      </c>
      <c r="AX35" s="56">
        <v>-1181.2</v>
      </c>
      <c r="AY35" s="56">
        <v>-1346.2070000000001</v>
      </c>
      <c r="AZ35" s="56">
        <v>-1323.133</v>
      </c>
      <c r="BA35" s="56">
        <v>-1182.0985332600001</v>
      </c>
      <c r="BB35" s="56">
        <f>-65652.86939068</f>
        <v>-65652.869390680004</v>
      </c>
      <c r="BC35" s="56">
        <v>-1124.2194622300001</v>
      </c>
      <c r="BD35" s="56">
        <v>-980.2</v>
      </c>
      <c r="BE35" s="56">
        <v>-1284.5155613500001</v>
      </c>
      <c r="BF35" s="56">
        <f>-70272.24561576</f>
        <v>-70272.245615759995</v>
      </c>
      <c r="BG35" s="56">
        <v>-1173.1493402000001</v>
      </c>
      <c r="BH35" s="56">
        <v>-6590.5596906299997</v>
      </c>
      <c r="BI35" s="56">
        <v>-1508.9238438899999</v>
      </c>
      <c r="BJ35" s="56">
        <v>-1746.9091456900001</v>
      </c>
      <c r="BK35" s="56">
        <v>-15755.86891057</v>
      </c>
      <c r="BL35" s="56">
        <v>-1356.05770392</v>
      </c>
      <c r="BM35" s="56">
        <v>-1179.9584180899999</v>
      </c>
      <c r="BN35" s="56">
        <v>-1753.6639442000001</v>
      </c>
      <c r="BO35" s="56">
        <v>-1531.53004474</v>
      </c>
      <c r="BP35" s="56">
        <v>-59722.00940422</v>
      </c>
      <c r="BQ35" s="56">
        <v>-1862.0408718599999</v>
      </c>
      <c r="BR35" s="56">
        <v>-3176.6416950100001</v>
      </c>
      <c r="BS35" s="56">
        <v>-1967.19461667</v>
      </c>
      <c r="BT35" s="56">
        <v>-1979.90190822</v>
      </c>
      <c r="BU35" s="56">
        <v>-1729.7146819300001</v>
      </c>
      <c r="BV35" s="56">
        <v>-1389.7586010699999</v>
      </c>
      <c r="BW35" s="56">
        <v>-2197.3697641799999</v>
      </c>
      <c r="BX35" s="56">
        <v>-1518.36199369</v>
      </c>
      <c r="BY35" s="56">
        <v>-1389.39257404</v>
      </c>
      <c r="BZ35" s="56">
        <v>-2087.94296042</v>
      </c>
      <c r="CA35" s="56">
        <v>-1737.0782058</v>
      </c>
      <c r="CB35" s="56">
        <v>-42601.627986289997</v>
      </c>
      <c r="CC35" s="56">
        <v>-2077.7562848500002</v>
      </c>
      <c r="CD35" s="56">
        <v>-9855.0241172999995</v>
      </c>
      <c r="CE35" s="56">
        <v>-2178.1507310699999</v>
      </c>
      <c r="CF35" s="56">
        <v>-1978.29461745</v>
      </c>
      <c r="CG35" s="56">
        <v>-1390.62358621</v>
      </c>
      <c r="CH35" s="56">
        <v>-1391.0256923300001</v>
      </c>
      <c r="CI35" s="56">
        <v>-2180.43500976</v>
      </c>
      <c r="CJ35" s="56">
        <f>-1613.2833281</f>
        <v>-1613.2833281000001</v>
      </c>
      <c r="CK35" s="56">
        <f>-2180.08864723</f>
        <v>-2180.0886472299999</v>
      </c>
      <c r="CL35" s="56">
        <f>-2180.37635959</f>
        <v>-2180.37635959</v>
      </c>
      <c r="CM35" s="56">
        <v>-1391.25363958</v>
      </c>
      <c r="CN35" s="56">
        <v>-3123.58223352</v>
      </c>
      <c r="CO35" s="56">
        <v>-2181.8947566500001</v>
      </c>
      <c r="CP35" s="56">
        <v>-1441.7693083199999</v>
      </c>
      <c r="CQ35" s="56">
        <f>-90891.55249013</f>
        <v>-90891.552490129994</v>
      </c>
      <c r="CR35" s="56">
        <v>-2182.8761363100002</v>
      </c>
      <c r="CS35" s="56">
        <v>-1393.28897551</v>
      </c>
      <c r="CT35" s="56">
        <v>-2183.8353248399999</v>
      </c>
      <c r="CU35" s="56">
        <f>-2183.47415328</f>
        <v>-2183.4741532799999</v>
      </c>
      <c r="CV35" s="56">
        <f>-1444.24885662001</f>
        <v>-1444.24885662001</v>
      </c>
      <c r="CW35" s="56">
        <f>-2195.48604725</f>
        <v>-2195.48604725</v>
      </c>
      <c r="CX35" s="56">
        <f>-28679.29674131</f>
        <v>-28679.296741310001</v>
      </c>
      <c r="CY35" s="56">
        <f>-1394.86173664</f>
        <v>-1394.8617366399999</v>
      </c>
      <c r="CZ35" s="59">
        <f>-1393.8377647</f>
        <v>-1393.8377647</v>
      </c>
      <c r="DA35" s="59">
        <f>-2185.42032779</f>
        <v>-2185.4203277900001</v>
      </c>
      <c r="DB35" s="59">
        <f>-1392.89690751</f>
        <v>-1392.8969075099999</v>
      </c>
      <c r="DC35" s="59">
        <f>-2185.34537325</f>
        <v>-2185.3453732500002</v>
      </c>
      <c r="DD35" s="59">
        <v>-2179.55111562</v>
      </c>
      <c r="DE35" s="59">
        <v>-9260.5316160500006</v>
      </c>
      <c r="DF35" s="59">
        <v>-2216.9525714800002</v>
      </c>
      <c r="DG35" s="59">
        <v>-17896.623247359999</v>
      </c>
      <c r="DH35" s="59">
        <v>-1387.19504506</v>
      </c>
      <c r="DI35" s="59">
        <v>-5394.0567647899998</v>
      </c>
    </row>
    <row r="36" spans="2:136" s="5" customFormat="1" x14ac:dyDescent="0.25">
      <c r="B36" s="49" t="s">
        <v>78</v>
      </c>
      <c r="C36" s="55" t="s">
        <v>65</v>
      </c>
      <c r="D36" s="51" t="s">
        <v>167</v>
      </c>
      <c r="E36" s="52">
        <f t="shared" ref="E36:L36" si="276">SUM(E37:E40)</f>
        <v>-1516.7</v>
      </c>
      <c r="F36" s="53">
        <f t="shared" si="276"/>
        <v>6834.991</v>
      </c>
      <c r="G36" s="53">
        <f t="shared" si="276"/>
        <v>683.29999999999973</v>
      </c>
      <c r="H36" s="53">
        <f t="shared" si="276"/>
        <v>-2063.1</v>
      </c>
      <c r="I36" s="53">
        <f t="shared" si="276"/>
        <v>-2489.1</v>
      </c>
      <c r="J36" s="53">
        <f t="shared" si="276"/>
        <v>-2034.7999999999997</v>
      </c>
      <c r="K36" s="53">
        <f t="shared" si="276"/>
        <v>4296.0300000000007</v>
      </c>
      <c r="L36" s="53">
        <f t="shared" si="276"/>
        <v>-2027.1999999999998</v>
      </c>
      <c r="M36" s="53">
        <f t="shared" ref="M36:P36" si="277">SUM(M37:M40)</f>
        <v>12726.130000000001</v>
      </c>
      <c r="N36" s="53">
        <f t="shared" si="277"/>
        <v>-3052.2</v>
      </c>
      <c r="O36" s="53">
        <f t="shared" si="277"/>
        <v>14046.9</v>
      </c>
      <c r="P36" s="54">
        <f t="shared" si="277"/>
        <v>-2032.4</v>
      </c>
      <c r="Q36" s="53">
        <f t="shared" ref="Q36:X36" si="278">SUM(Q37:Q40)</f>
        <v>-2636.5</v>
      </c>
      <c r="R36" s="53">
        <f t="shared" si="278"/>
        <v>-1414.3000000000002</v>
      </c>
      <c r="S36" s="53">
        <f t="shared" si="278"/>
        <v>6449.11</v>
      </c>
      <c r="T36" s="53">
        <f t="shared" si="278"/>
        <v>86822.510000000009</v>
      </c>
      <c r="U36" s="53">
        <f t="shared" si="278"/>
        <v>-1279.5</v>
      </c>
      <c r="V36" s="53">
        <f t="shared" si="278"/>
        <v>2214.63</v>
      </c>
      <c r="W36" s="53">
        <f t="shared" si="278"/>
        <v>-23456.399999999998</v>
      </c>
      <c r="X36" s="53">
        <f t="shared" si="278"/>
        <v>-1649.6999999999998</v>
      </c>
      <c r="Y36" s="53">
        <f t="shared" ref="Y36:AB36" si="279">SUM(Y37:Y40)</f>
        <v>-1648.9999999999995</v>
      </c>
      <c r="Z36" s="53">
        <f t="shared" si="279"/>
        <v>-1715.9</v>
      </c>
      <c r="AA36" s="53">
        <f t="shared" si="279"/>
        <v>1545.6999999999998</v>
      </c>
      <c r="AB36" s="54">
        <f t="shared" si="279"/>
        <v>8343.51</v>
      </c>
      <c r="AC36" s="53">
        <f t="shared" ref="AC36:AJ36" si="280">SUM(AC37:AC40)</f>
        <v>-4400.1000000000004</v>
      </c>
      <c r="AD36" s="53">
        <f t="shared" si="280"/>
        <v>-1482.3</v>
      </c>
      <c r="AE36" s="53">
        <f t="shared" si="280"/>
        <v>-30755.200000000001</v>
      </c>
      <c r="AF36" s="53">
        <f t="shared" si="280"/>
        <v>36226.700000000012</v>
      </c>
      <c r="AG36" s="53">
        <f t="shared" si="280"/>
        <v>14905.7</v>
      </c>
      <c r="AH36" s="53">
        <f t="shared" si="280"/>
        <v>-2123.1</v>
      </c>
      <c r="AI36" s="53">
        <f t="shared" si="280"/>
        <v>285.10000000000036</v>
      </c>
      <c r="AJ36" s="53">
        <f t="shared" si="280"/>
        <v>-2967.7999999999997</v>
      </c>
      <c r="AK36" s="53">
        <f t="shared" ref="AK36:AN36" si="281">SUM(AK37:AK40)</f>
        <v>3453.65</v>
      </c>
      <c r="AL36" s="53">
        <f t="shared" si="281"/>
        <v>-3933.4999999999995</v>
      </c>
      <c r="AM36" s="53">
        <f t="shared" si="281"/>
        <v>-2227.6</v>
      </c>
      <c r="AN36" s="54">
        <f t="shared" si="281"/>
        <v>-2392.5</v>
      </c>
      <c r="AO36" s="56">
        <f t="shared" ref="AO36:AV36" si="282">SUM(AO37:AO40)</f>
        <v>-3572.6</v>
      </c>
      <c r="AP36" s="56">
        <f t="shared" si="282"/>
        <v>-3634.6</v>
      </c>
      <c r="AQ36" s="56">
        <f t="shared" si="282"/>
        <v>-3117.5</v>
      </c>
      <c r="AR36" s="56">
        <f t="shared" si="282"/>
        <v>-3933.8</v>
      </c>
      <c r="AS36" s="56">
        <f t="shared" si="282"/>
        <v>10472.099999999999</v>
      </c>
      <c r="AT36" s="56">
        <f t="shared" si="282"/>
        <v>-1117.0000000000002</v>
      </c>
      <c r="AU36" s="56">
        <f t="shared" si="282"/>
        <v>-2991.9</v>
      </c>
      <c r="AV36" s="56">
        <f t="shared" si="282"/>
        <v>-3144.9</v>
      </c>
      <c r="AW36" s="56">
        <f>SUM(AW37:AW40)</f>
        <v>6613.4000000000005</v>
      </c>
      <c r="AX36" s="56">
        <f t="shared" ref="AX36" si="283">SUM(AX37:AX40)</f>
        <v>-2025.0000000000002</v>
      </c>
      <c r="AY36" s="56">
        <f t="shared" ref="AY36:BD36" si="284">SUM(AY37:AY40)</f>
        <v>-4055.4420000000005</v>
      </c>
      <c r="AZ36" s="56">
        <f t="shared" si="284"/>
        <v>-889.73799999999983</v>
      </c>
      <c r="BA36" s="56">
        <f t="shared" si="284"/>
        <v>-2914.7255968392001</v>
      </c>
      <c r="BB36" s="56">
        <f t="shared" si="284"/>
        <v>-950.73629595770035</v>
      </c>
      <c r="BC36" s="56">
        <f t="shared" si="284"/>
        <v>-24398.925929432</v>
      </c>
      <c r="BD36" s="56">
        <f t="shared" si="284"/>
        <v>6124.5108195822004</v>
      </c>
      <c r="BE36" s="56">
        <f t="shared" ref="BE36:BK36" si="285">SUM(BE37:BE40)</f>
        <v>105416.0656005959</v>
      </c>
      <c r="BF36" s="56">
        <f t="shared" si="285"/>
        <v>-2195.9130112294001</v>
      </c>
      <c r="BG36" s="56">
        <f t="shared" si="285"/>
        <v>-920.74046009999984</v>
      </c>
      <c r="BH36" s="56">
        <f t="shared" si="285"/>
        <v>-3408.68755994</v>
      </c>
      <c r="BI36" s="56">
        <f t="shared" si="285"/>
        <v>-1285.9108658499999</v>
      </c>
      <c r="BJ36" s="56">
        <f t="shared" si="285"/>
        <v>-2857.6467869480998</v>
      </c>
      <c r="BK36" s="56">
        <f t="shared" si="285"/>
        <v>-3365.690647681</v>
      </c>
      <c r="BL36" s="56">
        <f t="shared" ref="BL36:BS36" si="286">SUM(BL37:BL40)</f>
        <v>1334.7879951215998</v>
      </c>
      <c r="BM36" s="56">
        <f t="shared" si="286"/>
        <v>-184.61136747000023</v>
      </c>
      <c r="BN36" s="56">
        <f t="shared" si="286"/>
        <v>3636.6020819415999</v>
      </c>
      <c r="BO36" s="56">
        <f t="shared" si="286"/>
        <v>-11535.253980953199</v>
      </c>
      <c r="BP36" s="56">
        <f t="shared" si="286"/>
        <v>-3251.3264673700005</v>
      </c>
      <c r="BQ36" s="56">
        <f t="shared" si="286"/>
        <v>345.15084622799986</v>
      </c>
      <c r="BR36" s="56">
        <f t="shared" si="286"/>
        <v>-406.14243261089996</v>
      </c>
      <c r="BS36" s="56">
        <f t="shared" si="286"/>
        <v>-133.83669610250035</v>
      </c>
      <c r="BT36" s="56">
        <f t="shared" ref="BT36:BU36" si="287">SUM(BT37:BT40)</f>
        <v>-1306.2633037735</v>
      </c>
      <c r="BU36" s="56">
        <f t="shared" si="287"/>
        <v>3617.2825174</v>
      </c>
      <c r="BV36" s="56">
        <f t="shared" ref="BV36:BW36" si="288">SUM(BV37:BV40)</f>
        <v>-2147.5128686776002</v>
      </c>
      <c r="BW36" s="56">
        <f t="shared" si="288"/>
        <v>-2763.3886059543997</v>
      </c>
      <c r="BX36" s="56">
        <f t="shared" ref="BX36:BY36" si="289">SUM(BX37:BX40)</f>
        <v>-1225.7209807336003</v>
      </c>
      <c r="BY36" s="56">
        <f t="shared" si="289"/>
        <v>596.08990215279982</v>
      </c>
      <c r="BZ36" s="56">
        <f t="shared" ref="BZ36:CA36" si="290">SUM(BZ37:BZ40)</f>
        <v>-2148.9242066413999</v>
      </c>
      <c r="CA36" s="56">
        <f t="shared" si="290"/>
        <v>-14159.692002206999</v>
      </c>
      <c r="CB36" s="56">
        <f t="shared" ref="CB36:CE36" si="291">SUM(CB37:CB40)</f>
        <v>-5232.3877657568</v>
      </c>
      <c r="CC36" s="56">
        <f t="shared" si="291"/>
        <v>-2715.3266085112</v>
      </c>
      <c r="CD36" s="56">
        <f t="shared" si="291"/>
        <v>-20157.160649668</v>
      </c>
      <c r="CE36" s="56">
        <f t="shared" si="291"/>
        <v>-2490.4743754299998</v>
      </c>
      <c r="CF36" s="56">
        <f>SUM(CF37:CF40)</f>
        <v>-1879.0075843723998</v>
      </c>
      <c r="CG36" s="56">
        <f t="shared" ref="CG36:CI36" si="292">SUM(CG37:CG40)</f>
        <v>3577.0043755937995</v>
      </c>
      <c r="CH36" s="56">
        <f t="shared" ref="CH36" si="293">SUM(CH37:CH40)</f>
        <v>-6500.3925376999996</v>
      </c>
      <c r="CI36" s="56">
        <f t="shared" si="292"/>
        <v>-1059.9923984024999</v>
      </c>
      <c r="CJ36" s="56">
        <f t="shared" ref="CJ36" si="294">SUM(CJ37:CJ40)</f>
        <v>4685.7473431620019</v>
      </c>
      <c r="CK36" s="56">
        <f>SUM(CK37:CK40)</f>
        <v>-731.61744704779994</v>
      </c>
      <c r="CL36" s="56">
        <f t="shared" ref="CL36:CM36" si="295">SUM(CL37:CL40)</f>
        <v>-3117.1186261317998</v>
      </c>
      <c r="CM36" s="56">
        <f t="shared" si="295"/>
        <v>-2341.9550101875998</v>
      </c>
      <c r="CN36" s="56">
        <f t="shared" ref="CN36:CS36" si="296">SUM(CN37:CN40)</f>
        <v>-6799.8436824723995</v>
      </c>
      <c r="CO36" s="56">
        <f t="shared" si="296"/>
        <v>-3357.2320837416</v>
      </c>
      <c r="CP36" s="56">
        <f t="shared" si="296"/>
        <v>-947.66534660751506</v>
      </c>
      <c r="CQ36" s="56">
        <f t="shared" si="296"/>
        <v>14277.815970974902</v>
      </c>
      <c r="CR36" s="56">
        <f t="shared" si="296"/>
        <v>-2744.6907543299999</v>
      </c>
      <c r="CS36" s="56">
        <f t="shared" si="296"/>
        <v>-756.78857772509991</v>
      </c>
      <c r="CT36" s="56">
        <f t="shared" ref="CT36:CU36" si="297">SUM(CT37:CT40)</f>
        <v>-7950.4278004516</v>
      </c>
      <c r="CU36" s="56">
        <f t="shared" si="297"/>
        <v>-3264.5357354048001</v>
      </c>
      <c r="CV36" s="56">
        <f t="shared" ref="CV36:CW36" si="298">SUM(CV37:CV40)</f>
        <v>27258.7421368408</v>
      </c>
      <c r="CW36" s="56">
        <f t="shared" si="298"/>
        <v>6316.5162772063995</v>
      </c>
      <c r="CX36" s="56">
        <f t="shared" ref="CX36:CY36" si="299">SUM(CX37:CX40)</f>
        <v>-3209.9919379726002</v>
      </c>
      <c r="CY36" s="56">
        <f t="shared" si="299"/>
        <v>2013.0152072245</v>
      </c>
      <c r="CZ36" s="59">
        <f t="shared" ref="CZ36:DA36" si="300">SUM(CZ37:CZ40)</f>
        <v>-8491.2487320114997</v>
      </c>
      <c r="DA36" s="59">
        <f t="shared" si="300"/>
        <v>-238.0234128864995</v>
      </c>
      <c r="DB36" s="59">
        <f t="shared" ref="DB36:DC36" si="301">SUM(DB37:DB40)</f>
        <v>-3964.4537593977998</v>
      </c>
      <c r="DC36" s="59">
        <f t="shared" si="301"/>
        <v>-2548.1838962870997</v>
      </c>
      <c r="DD36" s="59">
        <f t="shared" ref="DD36:DE36" si="302">SUM(DD37:DD40)</f>
        <v>-4075.2927834799998</v>
      </c>
      <c r="DE36" s="59">
        <f t="shared" si="302"/>
        <v>-1658.7835901489998</v>
      </c>
      <c r="DF36" s="59">
        <f t="shared" ref="DF36:DG36" si="303">SUM(DF37:DF40)</f>
        <v>-40531.259596759999</v>
      </c>
      <c r="DG36" s="59">
        <f t="shared" si="303"/>
        <v>22810.898695108699</v>
      </c>
      <c r="DH36" s="59">
        <f t="shared" ref="DH36:DI36" si="304">SUM(DH37:DH40)</f>
        <v>17106.623317431</v>
      </c>
      <c r="DI36" s="59">
        <f t="shared" si="304"/>
        <v>-1388.7747749028001</v>
      </c>
    </row>
    <row r="37" spans="2:136" s="5" customFormat="1" x14ac:dyDescent="0.25">
      <c r="B37" s="64" t="s">
        <v>79</v>
      </c>
      <c r="C37" s="57" t="s">
        <v>66</v>
      </c>
      <c r="D37" s="51" t="s">
        <v>168</v>
      </c>
      <c r="E37" s="58">
        <v>581.79999999999995</v>
      </c>
      <c r="F37" s="56">
        <v>403.3</v>
      </c>
      <c r="G37" s="56">
        <v>2054.6999999999998</v>
      </c>
      <c r="H37" s="56">
        <v>819</v>
      </c>
      <c r="I37" s="56">
        <v>1580.9</v>
      </c>
      <c r="J37" s="56">
        <v>732.4</v>
      </c>
      <c r="K37" s="56">
        <f>6297+480.13</f>
        <v>6777.13</v>
      </c>
      <c r="L37" s="56">
        <v>241.4</v>
      </c>
      <c r="M37" s="56">
        <f>13730+1067.13</f>
        <v>14797.130000000001</v>
      </c>
      <c r="N37" s="56">
        <v>217.8</v>
      </c>
      <c r="O37" s="56">
        <f>730.6+15050</f>
        <v>15780.6</v>
      </c>
      <c r="P37" s="59">
        <v>705.1</v>
      </c>
      <c r="Q37" s="56">
        <v>136.5</v>
      </c>
      <c r="R37" s="56">
        <v>834.1</v>
      </c>
      <c r="S37" s="56">
        <v>572.71</v>
      </c>
      <c r="T37" s="56">
        <v>673.71</v>
      </c>
      <c r="U37" s="56">
        <v>532.79999999999995</v>
      </c>
      <c r="V37" s="56">
        <v>848.93</v>
      </c>
      <c r="W37" s="56">
        <v>1015.9</v>
      </c>
      <c r="X37" s="56">
        <v>415</v>
      </c>
      <c r="Y37" s="56">
        <v>786.5</v>
      </c>
      <c r="Z37" s="56">
        <v>1760.5</v>
      </c>
      <c r="AA37" s="56">
        <v>3277.6</v>
      </c>
      <c r="AB37" s="59">
        <v>2114.11</v>
      </c>
      <c r="AC37" s="56">
        <v>727</v>
      </c>
      <c r="AD37" s="56">
        <v>588.20000000000005</v>
      </c>
      <c r="AE37" s="56">
        <v>1531.2</v>
      </c>
      <c r="AF37" s="56">
        <v>1078.5</v>
      </c>
      <c r="AG37" s="56">
        <v>2207.9</v>
      </c>
      <c r="AH37" s="56">
        <v>305.3</v>
      </c>
      <c r="AI37" s="56">
        <v>3746.8</v>
      </c>
      <c r="AJ37" s="56">
        <v>326.3</v>
      </c>
      <c r="AK37" s="56">
        <v>2964.35</v>
      </c>
      <c r="AL37" s="56">
        <v>1246.9000000000001</v>
      </c>
      <c r="AM37" s="56">
        <v>1263.9000000000001</v>
      </c>
      <c r="AN37" s="59">
        <v>644.1</v>
      </c>
      <c r="AO37" s="56">
        <v>320.39999999999998</v>
      </c>
      <c r="AP37" s="56">
        <v>1824.4</v>
      </c>
      <c r="AQ37" s="56">
        <v>1781</v>
      </c>
      <c r="AR37" s="56">
        <v>0</v>
      </c>
      <c r="AS37" s="56">
        <v>1294.5</v>
      </c>
      <c r="AT37" s="56">
        <v>1446.8</v>
      </c>
      <c r="AU37" s="56">
        <v>542.1</v>
      </c>
      <c r="AV37" s="56">
        <v>1374.6</v>
      </c>
      <c r="AW37" s="56">
        <v>3385.1</v>
      </c>
      <c r="AX37" s="56">
        <v>1704.8</v>
      </c>
      <c r="AY37" s="56">
        <v>144.38999999999999</v>
      </c>
      <c r="AZ37" s="56">
        <v>1329.819</v>
      </c>
      <c r="BA37" s="56">
        <v>50.452326640800003</v>
      </c>
      <c r="BB37" s="56">
        <v>2867.9149922422998</v>
      </c>
      <c r="BC37" s="56">
        <v>2410.4740705680001</v>
      </c>
      <c r="BD37" s="56">
        <v>1160.2110965922</v>
      </c>
      <c r="BE37" s="56">
        <v>1711.5857517759</v>
      </c>
      <c r="BF37" s="56">
        <v>288.44631031059998</v>
      </c>
      <c r="BG37" s="56">
        <v>2192.10637486</v>
      </c>
      <c r="BH37" s="56">
        <v>366.47822391</v>
      </c>
      <c r="BI37" s="56">
        <v>2779.82</v>
      </c>
      <c r="BJ37" s="56">
        <v>825.68833420190003</v>
      </c>
      <c r="BK37" s="56">
        <v>343.16280240899999</v>
      </c>
      <c r="BL37" s="56">
        <v>3055.9483016815998</v>
      </c>
      <c r="BM37" s="56">
        <v>1937.42524368</v>
      </c>
      <c r="BN37" s="56">
        <v>483.86621762160001</v>
      </c>
      <c r="BO37" s="56">
        <v>3343.9761076568002</v>
      </c>
      <c r="BP37" s="56">
        <v>997.27724321999995</v>
      </c>
      <c r="BQ37" s="56">
        <v>4085.9962845179998</v>
      </c>
      <c r="BR37" s="56">
        <v>1358.9056416991</v>
      </c>
      <c r="BS37" s="56">
        <v>2360.0426945774998</v>
      </c>
      <c r="BT37" s="56">
        <v>1574.5033347465001</v>
      </c>
      <c r="BU37" s="56">
        <v>2959.0916405799999</v>
      </c>
      <c r="BV37" s="56">
        <v>1754.2915787823999</v>
      </c>
      <c r="BW37" s="56">
        <v>699.34861659559999</v>
      </c>
      <c r="BX37" s="56">
        <v>2694.8192157563999</v>
      </c>
      <c r="BY37" s="56">
        <v>3098.9255267628</v>
      </c>
      <c r="BZ37" s="56">
        <v>2289.7507466786001</v>
      </c>
      <c r="CA37" s="56">
        <v>1171.1337695130001</v>
      </c>
      <c r="CB37" s="56">
        <v>1343.8109617632001</v>
      </c>
      <c r="CC37" s="56">
        <v>89.209467958800005</v>
      </c>
      <c r="CD37" s="56">
        <v>109.352</v>
      </c>
      <c r="CE37" s="56">
        <v>696.35064</v>
      </c>
      <c r="CF37" s="56">
        <v>1789.3273803776001</v>
      </c>
      <c r="CG37" s="56">
        <v>8247.6181255337997</v>
      </c>
      <c r="CH37" s="56">
        <v>0</v>
      </c>
      <c r="CI37" s="56">
        <v>1995.8622373875</v>
      </c>
      <c r="CJ37" s="56">
        <v>242.023840092</v>
      </c>
      <c r="CK37" s="56">
        <v>1553.6110329922001</v>
      </c>
      <c r="CL37" s="56">
        <v>1208.5277725782</v>
      </c>
      <c r="CM37" s="56">
        <v>831.84165678240004</v>
      </c>
      <c r="CN37" s="56">
        <v>902.4680945376</v>
      </c>
      <c r="CO37" s="56">
        <v>-5.4857241600000002E-2</v>
      </c>
      <c r="CP37" s="56">
        <v>811.46790372248495</v>
      </c>
      <c r="CQ37" s="56">
        <v>3127.3683219848999</v>
      </c>
      <c r="CR37" s="56">
        <v>107.22750000000001</v>
      </c>
      <c r="CS37" s="56">
        <f>20.97926089*144.41</f>
        <v>3029.6150651249</v>
      </c>
      <c r="CT37" s="56">
        <v>182.9070985784</v>
      </c>
      <c r="CU37" s="56">
        <v>535.22314832519999</v>
      </c>
      <c r="CV37" s="56">
        <v>3019.3949107108001</v>
      </c>
      <c r="CW37" s="56">
        <f>12.72843602*151.82</f>
        <v>1932.4311565563999</v>
      </c>
      <c r="CX37" s="56">
        <f>7.099198*151.0863</f>
        <v>1072.5915587874001</v>
      </c>
      <c r="CY37" s="56">
        <f>37.47120883*150.15</f>
        <v>5626.3020058245002</v>
      </c>
      <c r="CZ37" s="59">
        <f>2.98785955*154.27</f>
        <v>460.93709277850002</v>
      </c>
      <c r="DA37" s="59">
        <f>20.34944695*154.33</f>
        <v>3140.5301477935004</v>
      </c>
      <c r="DB37" s="59">
        <f>6.92156933*149.34</f>
        <v>1033.6671637422</v>
      </c>
      <c r="DC37" s="59">
        <v>149.36599052290001</v>
      </c>
      <c r="DD37" s="59">
        <v>1148.9818209099999</v>
      </c>
      <c r="DE37" s="59">
        <v>2022.197536051</v>
      </c>
      <c r="DF37" s="59">
        <v>3.9002500000000002</v>
      </c>
      <c r="DG37" s="59">
        <v>2279.8832329787001</v>
      </c>
      <c r="DH37" s="59">
        <v>4158.0638259010002</v>
      </c>
      <c r="DI37" s="59">
        <v>1160.2530901272</v>
      </c>
    </row>
    <row r="38" spans="2:136" s="5" customFormat="1" x14ac:dyDescent="0.25">
      <c r="B38" s="64" t="s">
        <v>80</v>
      </c>
      <c r="C38" s="57" t="s">
        <v>63</v>
      </c>
      <c r="D38" s="51" t="s">
        <v>169</v>
      </c>
      <c r="E38" s="58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9">
        <v>0</v>
      </c>
      <c r="Q38" s="56">
        <v>0</v>
      </c>
      <c r="R38" s="56">
        <v>0</v>
      </c>
      <c r="S38" s="56">
        <v>0</v>
      </c>
      <c r="T38" s="56">
        <v>89840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9">
        <v>0</v>
      </c>
      <c r="AC38" s="56">
        <v>0</v>
      </c>
      <c r="AD38" s="56">
        <v>0</v>
      </c>
      <c r="AE38" s="56">
        <v>0</v>
      </c>
      <c r="AF38" s="56">
        <v>234700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9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  <c r="BA38" s="56">
        <v>0</v>
      </c>
      <c r="BB38" s="56">
        <v>0</v>
      </c>
      <c r="BC38" s="56">
        <v>0</v>
      </c>
      <c r="BD38" s="56">
        <v>0</v>
      </c>
      <c r="BE38" s="56">
        <f>834.43681392*128.5</f>
        <v>107225.13058872</v>
      </c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6">
        <v>0</v>
      </c>
      <c r="BL38" s="56">
        <v>0</v>
      </c>
      <c r="BM38" s="56">
        <v>0</v>
      </c>
      <c r="BN38" s="56">
        <v>0</v>
      </c>
      <c r="BO38" s="56">
        <v>0</v>
      </c>
      <c r="BP38" s="56">
        <v>0</v>
      </c>
      <c r="BQ38" s="56">
        <v>0</v>
      </c>
      <c r="BR38" s="56">
        <v>0</v>
      </c>
      <c r="BS38" s="56">
        <v>0</v>
      </c>
      <c r="BT38" s="56">
        <v>0</v>
      </c>
      <c r="BU38" s="56">
        <v>0</v>
      </c>
      <c r="BV38" s="56">
        <v>0</v>
      </c>
      <c r="BW38" s="56">
        <v>0</v>
      </c>
      <c r="BX38" s="56">
        <v>0</v>
      </c>
      <c r="BY38" s="56">
        <v>0</v>
      </c>
      <c r="BZ38" s="56">
        <v>0</v>
      </c>
      <c r="CA38" s="56"/>
      <c r="CB38" s="56"/>
      <c r="CC38" s="56"/>
      <c r="CD38" s="56">
        <v>20508.349181112</v>
      </c>
      <c r="CE38" s="56">
        <v>0</v>
      </c>
      <c r="CF38" s="56">
        <v>0</v>
      </c>
      <c r="CG38" s="56">
        <v>0</v>
      </c>
      <c r="CH38" s="56">
        <v>0</v>
      </c>
      <c r="CI38" s="56">
        <v>0</v>
      </c>
      <c r="CJ38" s="56">
        <v>0</v>
      </c>
      <c r="CK38" s="56">
        <v>0</v>
      </c>
      <c r="CL38" s="56">
        <v>0</v>
      </c>
      <c r="CM38" s="56">
        <v>0</v>
      </c>
      <c r="CN38" s="56">
        <v>0</v>
      </c>
      <c r="CO38" s="56">
        <v>0</v>
      </c>
      <c r="CP38" s="56">
        <v>0</v>
      </c>
      <c r="CQ38" s="56">
        <v>0</v>
      </c>
      <c r="CR38" s="56">
        <v>0</v>
      </c>
      <c r="CS38" s="56">
        <v>0</v>
      </c>
      <c r="CT38" s="56">
        <v>0</v>
      </c>
      <c r="CU38" s="56">
        <v>0</v>
      </c>
      <c r="CV38" s="56">
        <v>0</v>
      </c>
      <c r="CW38" s="56"/>
      <c r="CX38" s="56">
        <v>0</v>
      </c>
      <c r="CY38" s="56">
        <v>0</v>
      </c>
      <c r="CZ38" s="59">
        <v>0</v>
      </c>
      <c r="DA38" s="59">
        <v>0</v>
      </c>
      <c r="DB38" s="59">
        <v>0</v>
      </c>
      <c r="DC38" s="59">
        <v>0</v>
      </c>
      <c r="DD38" s="59">
        <v>0</v>
      </c>
      <c r="DE38" s="59">
        <v>0</v>
      </c>
      <c r="DF38" s="59">
        <v>0</v>
      </c>
      <c r="DG38" s="59">
        <v>0</v>
      </c>
      <c r="DH38" s="59">
        <v>0</v>
      </c>
      <c r="DI38" s="59">
        <v>0</v>
      </c>
      <c r="EB38" s="60"/>
    </row>
    <row r="39" spans="2:136" s="5" customFormat="1" x14ac:dyDescent="0.25">
      <c r="B39" s="64" t="s">
        <v>81</v>
      </c>
      <c r="C39" s="57" t="s">
        <v>67</v>
      </c>
      <c r="D39" s="51" t="s">
        <v>170</v>
      </c>
      <c r="E39" s="58">
        <v>0</v>
      </c>
      <c r="F39" s="56">
        <v>8716.6910000000007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/>
      <c r="N39" s="56">
        <v>0</v>
      </c>
      <c r="O39" s="56">
        <v>0</v>
      </c>
      <c r="P39" s="59"/>
      <c r="Q39" s="56">
        <v>0</v>
      </c>
      <c r="R39" s="56">
        <v>0</v>
      </c>
      <c r="S39" s="56">
        <v>7877.2</v>
      </c>
      <c r="T39" s="56">
        <v>0</v>
      </c>
      <c r="U39" s="56">
        <v>0</v>
      </c>
      <c r="V39" s="56">
        <v>7751</v>
      </c>
      <c r="W39" s="56">
        <v>0</v>
      </c>
      <c r="X39" s="56">
        <v>0</v>
      </c>
      <c r="Y39" s="56">
        <v>2840.9</v>
      </c>
      <c r="Z39" s="56">
        <v>0</v>
      </c>
      <c r="AA39" s="56">
        <v>0</v>
      </c>
      <c r="AB39" s="59">
        <v>8180.7</v>
      </c>
      <c r="AC39" s="56">
        <v>0</v>
      </c>
      <c r="AD39" s="56">
        <v>0</v>
      </c>
      <c r="AE39" s="56">
        <v>0</v>
      </c>
      <c r="AF39" s="56">
        <v>0</v>
      </c>
      <c r="AG39" s="56">
        <v>15256.3</v>
      </c>
      <c r="AH39" s="56">
        <v>0</v>
      </c>
      <c r="AI39" s="56">
        <v>0</v>
      </c>
      <c r="AJ39" s="56">
        <v>0</v>
      </c>
      <c r="AK39" s="56">
        <v>3009.4</v>
      </c>
      <c r="AL39" s="56">
        <v>0</v>
      </c>
      <c r="AM39" s="56">
        <v>0</v>
      </c>
      <c r="AN39" s="59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12648.9</v>
      </c>
      <c r="AT39" s="56">
        <v>0</v>
      </c>
      <c r="AU39" s="56">
        <v>0</v>
      </c>
      <c r="AV39" s="56">
        <v>0</v>
      </c>
      <c r="AW39" s="56">
        <v>6486.1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8961.3405000000002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6950.9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6426.5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f>69.825*136.05</f>
        <v>9499.6912500000017</v>
      </c>
      <c r="CK39" s="56">
        <v>24.4405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14567</v>
      </c>
      <c r="CR39" s="56">
        <v>0</v>
      </c>
      <c r="CS39" s="56">
        <v>0</v>
      </c>
      <c r="CT39" s="56">
        <v>0</v>
      </c>
      <c r="CU39" s="56">
        <v>0</v>
      </c>
      <c r="CV39" s="56">
        <v>25930.947499999998</v>
      </c>
      <c r="CW39" s="56">
        <f>49.625*151.82</f>
        <v>7534.0675000000001</v>
      </c>
      <c r="CX39" s="56">
        <v>0</v>
      </c>
      <c r="CY39" s="56">
        <v>0</v>
      </c>
      <c r="CZ39" s="59">
        <v>0</v>
      </c>
      <c r="DA39" s="59">
        <v>0</v>
      </c>
      <c r="DB39" s="59">
        <v>0</v>
      </c>
      <c r="DC39" s="59">
        <v>0</v>
      </c>
      <c r="DD39" s="59">
        <v>0</v>
      </c>
      <c r="DE39" s="59">
        <v>0</v>
      </c>
      <c r="DF39" s="59">
        <v>0</v>
      </c>
      <c r="DG39" s="59">
        <v>24975.044324999999</v>
      </c>
      <c r="DH39" s="59">
        <v>15415</v>
      </c>
      <c r="DI39" s="59">
        <v>0</v>
      </c>
    </row>
    <row r="40" spans="2:136" s="5" customFormat="1" x14ac:dyDescent="0.25">
      <c r="B40" s="64" t="s">
        <v>82</v>
      </c>
      <c r="C40" s="57" t="s">
        <v>64</v>
      </c>
      <c r="D40" s="51" t="s">
        <v>171</v>
      </c>
      <c r="E40" s="58">
        <v>-2098.5</v>
      </c>
      <c r="F40" s="56">
        <v>-2285</v>
      </c>
      <c r="G40" s="56">
        <v>-1371.4</v>
      </c>
      <c r="H40" s="56">
        <v>-2882.1</v>
      </c>
      <c r="I40" s="56">
        <v>-4070</v>
      </c>
      <c r="J40" s="56">
        <v>-2767.2</v>
      </c>
      <c r="K40" s="56">
        <v>-2481.1</v>
      </c>
      <c r="L40" s="56">
        <v>-2268.6</v>
      </c>
      <c r="M40" s="56">
        <v>-2071</v>
      </c>
      <c r="N40" s="56">
        <v>-3270</v>
      </c>
      <c r="O40" s="56">
        <v>-1733.7</v>
      </c>
      <c r="P40" s="59">
        <v>-2737.5</v>
      </c>
      <c r="Q40" s="56">
        <v>-2773</v>
      </c>
      <c r="R40" s="56">
        <v>-2248.4</v>
      </c>
      <c r="S40" s="56">
        <v>-2000.8</v>
      </c>
      <c r="T40" s="56">
        <v>-3691.2</v>
      </c>
      <c r="U40" s="56">
        <v>-1812.3</v>
      </c>
      <c r="V40" s="56">
        <v>-6385.3</v>
      </c>
      <c r="W40" s="56">
        <v>-24472.3</v>
      </c>
      <c r="X40" s="56">
        <v>-2064.6999999999998</v>
      </c>
      <c r="Y40" s="56">
        <v>-5276.4</v>
      </c>
      <c r="Z40" s="56">
        <v>-3476.4</v>
      </c>
      <c r="AA40" s="56">
        <v>-1731.9</v>
      </c>
      <c r="AB40" s="59">
        <v>-1951.3</v>
      </c>
      <c r="AC40" s="56">
        <v>-5127.1000000000004</v>
      </c>
      <c r="AD40" s="56">
        <v>-2070.5</v>
      </c>
      <c r="AE40" s="56">
        <v>-32286.400000000001</v>
      </c>
      <c r="AF40" s="56">
        <v>-199551.8</v>
      </c>
      <c r="AG40" s="56">
        <v>-2558.5</v>
      </c>
      <c r="AH40" s="56">
        <v>-2428.4</v>
      </c>
      <c r="AI40" s="56">
        <v>-3461.7</v>
      </c>
      <c r="AJ40" s="56">
        <v>-3294.1</v>
      </c>
      <c r="AK40" s="56">
        <v>-2520.1</v>
      </c>
      <c r="AL40" s="56">
        <v>-5180.3999999999996</v>
      </c>
      <c r="AM40" s="56">
        <v>-3491.5</v>
      </c>
      <c r="AN40" s="59">
        <v>-3036.6</v>
      </c>
      <c r="AO40" s="56">
        <v>-3893</v>
      </c>
      <c r="AP40" s="56">
        <v>-5459</v>
      </c>
      <c r="AQ40" s="56">
        <v>-4898.5</v>
      </c>
      <c r="AR40" s="56">
        <v>-3933.8</v>
      </c>
      <c r="AS40" s="56">
        <v>-3471.3</v>
      </c>
      <c r="AT40" s="56">
        <v>-2563.8000000000002</v>
      </c>
      <c r="AU40" s="56">
        <v>-3534</v>
      </c>
      <c r="AV40" s="56">
        <v>-4519.5</v>
      </c>
      <c r="AW40" s="56">
        <v>-3257.8</v>
      </c>
      <c r="AX40" s="56">
        <v>-3729.8</v>
      </c>
      <c r="AY40" s="56">
        <v>-4199.8320000000003</v>
      </c>
      <c r="AZ40" s="56">
        <v>-2219.5569999999998</v>
      </c>
      <c r="BA40" s="56">
        <v>-2965.1779234800001</v>
      </c>
      <c r="BB40" s="56">
        <v>-3818.6512882000002</v>
      </c>
      <c r="BC40" s="56">
        <v>-26809.4</v>
      </c>
      <c r="BD40" s="56">
        <v>-3997.0407770100001</v>
      </c>
      <c r="BE40" s="56">
        <v>-3520.6507399000002</v>
      </c>
      <c r="BF40" s="56">
        <f>-2484.35932154</f>
        <v>-2484.3593215400001</v>
      </c>
      <c r="BG40" s="56">
        <v>-3112.8468349599998</v>
      </c>
      <c r="BH40" s="56">
        <v>-3775.16578385</v>
      </c>
      <c r="BI40" s="56">
        <v>-4065.7308658500001</v>
      </c>
      <c r="BJ40" s="56">
        <v>-3683.3351211499998</v>
      </c>
      <c r="BK40" s="56">
        <v>-3708.85345009</v>
      </c>
      <c r="BL40" s="56">
        <v>-1721.16030656</v>
      </c>
      <c r="BM40" s="56">
        <v>-2122.0366111500002</v>
      </c>
      <c r="BN40" s="56">
        <v>-3798.1641356800001</v>
      </c>
      <c r="BO40" s="56">
        <v>-14879.23008861</v>
      </c>
      <c r="BP40" s="56">
        <v>-4248.6037105900004</v>
      </c>
      <c r="BQ40" s="56">
        <v>-3740.8454382899999</v>
      </c>
      <c r="BR40" s="56">
        <v>-1765.0480743099999</v>
      </c>
      <c r="BS40" s="56">
        <v>-2493.8793906800001</v>
      </c>
      <c r="BT40" s="56">
        <v>-2880.76663852</v>
      </c>
      <c r="BU40" s="56">
        <v>-5768.3091231799999</v>
      </c>
      <c r="BV40" s="56">
        <v>-3901.8044474600001</v>
      </c>
      <c r="BW40" s="56">
        <v>-3462.7372225499998</v>
      </c>
      <c r="BX40" s="56">
        <v>-3920.5401964900002</v>
      </c>
      <c r="BY40" s="56">
        <v>-2502.8356246100002</v>
      </c>
      <c r="BZ40" s="56">
        <v>-4438.67495332</v>
      </c>
      <c r="CA40" s="56">
        <v>-15330.825771719999</v>
      </c>
      <c r="CB40" s="56">
        <v>-6576.1987275199999</v>
      </c>
      <c r="CC40" s="56">
        <v>-2804.5360764699999</v>
      </c>
      <c r="CD40" s="56">
        <v>-40774.861830779999</v>
      </c>
      <c r="CE40" s="56">
        <v>-3186.8250154299999</v>
      </c>
      <c r="CF40" s="56">
        <v>-3668.3349647499999</v>
      </c>
      <c r="CG40" s="56">
        <v>-4670.6137499400002</v>
      </c>
      <c r="CH40" s="56">
        <v>-6500.3925376999996</v>
      </c>
      <c r="CI40" s="56">
        <v>-3055.85463579</v>
      </c>
      <c r="CJ40" s="56">
        <f>-5055.96774693</f>
        <v>-5055.9677469300004</v>
      </c>
      <c r="CK40" s="56">
        <f>-2309.66898004</f>
        <v>-2309.66898004</v>
      </c>
      <c r="CL40" s="56">
        <v>-4325.6463987099996</v>
      </c>
      <c r="CM40" s="56">
        <f>-3173.79666697</f>
        <v>-3173.7966669699999</v>
      </c>
      <c r="CN40" s="56">
        <v>-7702.3117770099998</v>
      </c>
      <c r="CO40" s="56">
        <v>-3357.1772265</v>
      </c>
      <c r="CP40" s="56">
        <v>-1759.13325033</v>
      </c>
      <c r="CQ40" s="56">
        <v>-3416.5523510100002</v>
      </c>
      <c r="CR40" s="56">
        <v>-2851.9182543299999</v>
      </c>
      <c r="CS40" s="56">
        <f>-3786.40364285</f>
        <v>-3786.4036428499999</v>
      </c>
      <c r="CT40" s="56">
        <v>-8133.3348990300001</v>
      </c>
      <c r="CU40" s="56">
        <v>-3799.75888373</v>
      </c>
      <c r="CV40" s="56">
        <f>-1691.60027387</f>
        <v>-1691.6002738699999</v>
      </c>
      <c r="CW40" s="56">
        <f>-3149.98237935</f>
        <v>-3149.98237935</v>
      </c>
      <c r="CX40" s="56">
        <v>-4282.5834967600003</v>
      </c>
      <c r="CY40" s="56">
        <v>-3613.2867986000001</v>
      </c>
      <c r="CZ40" s="59">
        <v>-8952.18582479</v>
      </c>
      <c r="DA40" s="59">
        <v>-3378.5535606799999</v>
      </c>
      <c r="DB40" s="59">
        <v>-4998.1209231399998</v>
      </c>
      <c r="DC40" s="59">
        <v>-2697.5498868099999</v>
      </c>
      <c r="DD40" s="59">
        <v>-5224.2746043899997</v>
      </c>
      <c r="DE40" s="59">
        <v>-3680.9811261999998</v>
      </c>
      <c r="DF40" s="59">
        <v>-40535.159846759998</v>
      </c>
      <c r="DG40" s="59">
        <v>-4444.02886287</v>
      </c>
      <c r="DH40" s="59">
        <v>-2466.4405084700002</v>
      </c>
      <c r="DI40" s="59">
        <v>-2549.0278650300002</v>
      </c>
    </row>
    <row r="41" spans="2:136" s="5" customFormat="1" x14ac:dyDescent="0.25">
      <c r="B41" s="64" t="s">
        <v>83</v>
      </c>
      <c r="C41" s="57" t="s">
        <v>138</v>
      </c>
      <c r="D41" s="51" t="s">
        <v>174</v>
      </c>
      <c r="E41" s="58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9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9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6071.2</v>
      </c>
      <c r="AN41" s="59">
        <v>0</v>
      </c>
      <c r="AO41" s="56">
        <v>0</v>
      </c>
      <c r="AP41" s="56">
        <v>0</v>
      </c>
      <c r="AQ41" s="56">
        <v>0</v>
      </c>
      <c r="AR41" s="56">
        <v>14604.7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11400.064395343499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14524.4981788519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13370.385</v>
      </c>
      <c r="BW41" s="56">
        <v>0</v>
      </c>
      <c r="BX41" s="56">
        <v>0</v>
      </c>
      <c r="BY41" s="56">
        <v>0</v>
      </c>
      <c r="BZ41" s="56">
        <v>7.8875831334999997</v>
      </c>
      <c r="CA41" s="56">
        <v>1375.8783483806301</v>
      </c>
      <c r="CB41" s="56">
        <v>12046.517282500001</v>
      </c>
      <c r="CC41" s="56">
        <v>6834.7352266300004</v>
      </c>
      <c r="CD41" s="56">
        <v>40742.08577949</v>
      </c>
      <c r="CE41" s="56">
        <v>19393.271020712298</v>
      </c>
      <c r="CF41" s="56">
        <v>1499.6821319999999</v>
      </c>
      <c r="CG41" s="56">
        <v>964.25172880000002</v>
      </c>
      <c r="CH41" s="56">
        <v>4956.6686634134903</v>
      </c>
      <c r="CI41" s="56">
        <v>10.2542956648775</v>
      </c>
      <c r="CJ41" s="56">
        <v>16343.64284352</v>
      </c>
      <c r="CK41" s="56">
        <v>8.5208916721500003</v>
      </c>
      <c r="CL41" s="56">
        <v>8.3807496599999993</v>
      </c>
      <c r="CM41" s="56">
        <v>68.825394970000005</v>
      </c>
      <c r="CN41" s="56">
        <v>8.1683695099999998</v>
      </c>
      <c r="CO41" s="56">
        <v>8.9798275010000008</v>
      </c>
      <c r="CP41" s="56">
        <v>70.051286250000004</v>
      </c>
      <c r="CQ41" s="56">
        <v>832.49429248000001</v>
      </c>
      <c r="CR41" s="56">
        <v>434.39517409000001</v>
      </c>
      <c r="CS41" s="56">
        <v>771.11755658488801</v>
      </c>
      <c r="CT41" s="56">
        <v>8.5986266593499998</v>
      </c>
      <c r="CU41" s="56">
        <v>736.22269388999996</v>
      </c>
      <c r="CV41" s="56">
        <v>382.76972466000001</v>
      </c>
      <c r="CW41" s="56">
        <v>9.03913821914864</v>
      </c>
      <c r="CX41" s="56">
        <v>22.047710779999999</v>
      </c>
      <c r="CY41" s="56">
        <v>609.25405054999999</v>
      </c>
      <c r="CZ41" s="59">
        <v>9.0409641399999998</v>
      </c>
      <c r="DA41" s="59">
        <v>9.3736226600000006</v>
      </c>
      <c r="DB41" s="59">
        <v>896.92856398543699</v>
      </c>
      <c r="DC41" s="59">
        <v>8.9024959999999993</v>
      </c>
      <c r="DD41" s="59">
        <v>22.237304210230999</v>
      </c>
      <c r="DE41" s="59">
        <v>779.47492105628203</v>
      </c>
      <c r="DF41" s="59">
        <v>509.65951791999998</v>
      </c>
      <c r="DG41" s="59">
        <v>9.4515275899999995</v>
      </c>
      <c r="DH41" s="59">
        <v>382.57349495</v>
      </c>
      <c r="DI41" s="59">
        <v>105.30102642</v>
      </c>
    </row>
    <row r="42" spans="2:136" s="5" customFormat="1" x14ac:dyDescent="0.25">
      <c r="B42" s="64" t="s">
        <v>84</v>
      </c>
      <c r="C42" s="57" t="s">
        <v>139</v>
      </c>
      <c r="D42" s="51" t="s">
        <v>175</v>
      </c>
      <c r="E42" s="58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9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9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9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>
        <v>-14260.638999999999</v>
      </c>
      <c r="BM42" s="56">
        <v>-2000</v>
      </c>
      <c r="BN42" s="56">
        <v>-1151.64586605</v>
      </c>
      <c r="BO42" s="56">
        <v>-4000</v>
      </c>
      <c r="BP42" s="56">
        <v>-8000</v>
      </c>
      <c r="BQ42" s="56">
        <v>-2265.3650876199999</v>
      </c>
      <c r="BR42" s="56">
        <v>-154.63514182</v>
      </c>
      <c r="BS42" s="56">
        <v>-165</v>
      </c>
      <c r="BT42" s="56">
        <v>-4670</v>
      </c>
      <c r="BU42" s="56">
        <v>-81.556378760000001</v>
      </c>
      <c r="BV42" s="56">
        <v>-3330.08</v>
      </c>
      <c r="BW42" s="56">
        <v>-182.59277065000001</v>
      </c>
      <c r="BX42" s="56">
        <v>-9038.7883062399997</v>
      </c>
      <c r="BY42" s="56">
        <v>-46.7</v>
      </c>
      <c r="BZ42" s="56">
        <v>-60.44155447</v>
      </c>
      <c r="CA42" s="56">
        <v>-57.947110119999998</v>
      </c>
      <c r="CB42" s="56">
        <v>-26.330170949999999</v>
      </c>
      <c r="CC42" s="56">
        <f>-98.69476282</f>
        <v>-98.694762819999994</v>
      </c>
      <c r="CD42" s="56">
        <v>-53.729325000000003</v>
      </c>
      <c r="CE42" s="56">
        <v>-145.839</v>
      </c>
      <c r="CF42" s="56">
        <v>-8107.7565369200001</v>
      </c>
      <c r="CG42" s="56">
        <v>-7933.4920000000002</v>
      </c>
      <c r="CH42" s="56">
        <v>0</v>
      </c>
      <c r="CI42" s="56">
        <v>0</v>
      </c>
      <c r="CJ42" s="56">
        <v>-21402.26953972</v>
      </c>
      <c r="CK42" s="56">
        <v>-2054.9589999999998</v>
      </c>
      <c r="CL42" s="56">
        <f>-2194.953</f>
        <v>-2194.953</v>
      </c>
      <c r="CM42" s="56">
        <v>-2160</v>
      </c>
      <c r="CN42" s="56">
        <v>-2108.5349999999999</v>
      </c>
      <c r="CO42" s="56">
        <v>-1831.00568</v>
      </c>
      <c r="CP42" s="56">
        <v>-20379.168000000001</v>
      </c>
      <c r="CQ42" s="56">
        <v>0</v>
      </c>
      <c r="CR42" s="56">
        <v>-1175</v>
      </c>
      <c r="CS42" s="56">
        <v>0</v>
      </c>
      <c r="CT42" s="56">
        <v>0</v>
      </c>
      <c r="CU42" s="56">
        <v>-2350</v>
      </c>
      <c r="CV42" s="56">
        <v>-2713.4</v>
      </c>
      <c r="CW42" s="56">
        <v>0</v>
      </c>
      <c r="CX42" s="56">
        <f>-1490.10301617</f>
        <v>-1490.10301617</v>
      </c>
      <c r="CY42" s="56">
        <f>-2468.63193283</f>
        <v>-2468.6319328300001</v>
      </c>
      <c r="CZ42" s="59">
        <f>-3007.74428231</f>
        <v>-3007.74428231</v>
      </c>
      <c r="DA42" s="59">
        <f>-5058.92929282</f>
        <v>-5058.9292928200002</v>
      </c>
      <c r="DB42" s="59">
        <f>-1449.6240995</f>
        <v>-1449.6240995000001</v>
      </c>
      <c r="DC42" s="59">
        <v>-1592.85</v>
      </c>
      <c r="DD42" s="59">
        <v>0</v>
      </c>
      <c r="DE42" s="59">
        <v>0</v>
      </c>
      <c r="DF42" s="59">
        <v>-2000</v>
      </c>
      <c r="DG42" s="59">
        <v>-800</v>
      </c>
      <c r="DH42" s="59">
        <v>-1400</v>
      </c>
      <c r="DI42" s="59">
        <v>0</v>
      </c>
    </row>
    <row r="43" spans="2:136" s="26" customFormat="1" x14ac:dyDescent="0.25">
      <c r="B43" s="46" t="s">
        <v>85</v>
      </c>
      <c r="C43" s="16" t="s">
        <v>68</v>
      </c>
      <c r="D43" s="17" t="s">
        <v>172</v>
      </c>
      <c r="E43" s="32">
        <f>-E34</f>
        <v>-2303.7999999999993</v>
      </c>
      <c r="F43" s="18">
        <f t="shared" ref="F43:K43" si="305">-F34</f>
        <v>3541.0909999999994</v>
      </c>
      <c r="G43" s="18">
        <f t="shared" si="305"/>
        <v>-2033.3999999999901</v>
      </c>
      <c r="H43" s="18">
        <f t="shared" si="305"/>
        <v>-2303.4000000000005</v>
      </c>
      <c r="I43" s="18">
        <f t="shared" si="305"/>
        <v>-13465.000000000002</v>
      </c>
      <c r="J43" s="18">
        <f t="shared" si="305"/>
        <v>6935.2</v>
      </c>
      <c r="K43" s="18">
        <f t="shared" si="305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306">-N34</f>
        <v>-10285.200000000001</v>
      </c>
      <c r="O43" s="18">
        <f t="shared" si="306"/>
        <v>-24268.300000000003</v>
      </c>
      <c r="P43" s="42">
        <f t="shared" si="306"/>
        <v>23727.899999999994</v>
      </c>
      <c r="Q43" s="18">
        <f>-Q34</f>
        <v>-11960.900000000005</v>
      </c>
      <c r="R43" s="18">
        <f t="shared" ref="R43:W43" si="307">-R34</f>
        <v>-2755.2000000000016</v>
      </c>
      <c r="S43" s="18">
        <f t="shared" si="307"/>
        <v>3814.5099999999998</v>
      </c>
      <c r="T43" s="18">
        <f t="shared" si="307"/>
        <v>82749.610000000015</v>
      </c>
      <c r="U43" s="18">
        <f t="shared" si="307"/>
        <v>-8074.3100000000013</v>
      </c>
      <c r="V43" s="18">
        <f t="shared" si="307"/>
        <v>11636.230000000005</v>
      </c>
      <c r="W43" s="18">
        <f t="shared" si="307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308">-Z34</f>
        <v>-3898.3519999999953</v>
      </c>
      <c r="AA43" s="18">
        <f t="shared" si="308"/>
        <v>-8251.0279999999948</v>
      </c>
      <c r="AB43" s="42">
        <f t="shared" si="308"/>
        <v>43018.51</v>
      </c>
      <c r="AC43" s="18">
        <f>-AC34</f>
        <v>-17721.199999999997</v>
      </c>
      <c r="AD43" s="18">
        <f t="shared" ref="AD43:AN43" si="309">-AD34</f>
        <v>-359.89999999999645</v>
      </c>
      <c r="AE43" s="18">
        <f t="shared" si="309"/>
        <v>-30523.599999999995</v>
      </c>
      <c r="AF43" s="18">
        <f t="shared" si="309"/>
        <v>28081.100000000009</v>
      </c>
      <c r="AG43" s="18">
        <f t="shared" si="309"/>
        <v>8567.1999999999971</v>
      </c>
      <c r="AH43" s="18">
        <f t="shared" si="309"/>
        <v>7906.2000000000007</v>
      </c>
      <c r="AI43" s="18">
        <f t="shared" si="309"/>
        <v>-3785.7000000000025</v>
      </c>
      <c r="AJ43" s="18">
        <f t="shared" si="309"/>
        <v>-7400.2000000000062</v>
      </c>
      <c r="AK43" s="18">
        <f t="shared" si="309"/>
        <v>789.44999999999141</v>
      </c>
      <c r="AL43" s="18">
        <f t="shared" si="309"/>
        <v>-16339.199999999992</v>
      </c>
      <c r="AM43" s="18">
        <f t="shared" si="309"/>
        <v>-43202.5</v>
      </c>
      <c r="AN43" s="42">
        <f t="shared" si="309"/>
        <v>31050.30000000001</v>
      </c>
      <c r="AO43" s="18">
        <f>-AO34</f>
        <v>-12742.259000000002</v>
      </c>
      <c r="AP43" s="18">
        <f t="shared" ref="AP43:AV43" si="310">-AP34</f>
        <v>1655.7169180000026</v>
      </c>
      <c r="AQ43" s="18">
        <f t="shared" si="310"/>
        <v>-824.86099999999897</v>
      </c>
      <c r="AR43" s="18">
        <f t="shared" si="310"/>
        <v>4381.3840000000073</v>
      </c>
      <c r="AS43" s="18">
        <f t="shared" si="310"/>
        <v>12651.247032809997</v>
      </c>
      <c r="AT43" s="18">
        <f t="shared" si="310"/>
        <v>-9277.1749999999865</v>
      </c>
      <c r="AU43" s="18">
        <f t="shared" si="310"/>
        <v>-13168.135000000004</v>
      </c>
      <c r="AV43" s="18">
        <f t="shared" si="310"/>
        <v>5986.0000000000073</v>
      </c>
      <c r="AW43" s="18">
        <f t="shared" ref="AW43:AX43" si="311">-AW34</f>
        <v>10173.299999999999</v>
      </c>
      <c r="AX43" s="18">
        <f t="shared" si="311"/>
        <v>-7391.6919999999964</v>
      </c>
      <c r="AY43" s="18">
        <f t="shared" ref="AY43:AZ43" si="312">-AY34</f>
        <v>3051.0539999999964</v>
      </c>
      <c r="AZ43" s="18">
        <f t="shared" si="312"/>
        <v>31071.155999999984</v>
      </c>
      <c r="BA43" s="18">
        <f t="shared" ref="BA43:BB43" si="313">-BA34</f>
        <v>4667.6677970014043</v>
      </c>
      <c r="BB43" s="18">
        <f t="shared" si="313"/>
        <v>-41385.887395491809</v>
      </c>
      <c r="BC43" s="18">
        <f t="shared" ref="BC43:BG43" si="314">-BC34</f>
        <v>-18555.7118702142</v>
      </c>
      <c r="BD43" s="18">
        <f t="shared" si="314"/>
        <v>10140.224610715508</v>
      </c>
      <c r="BE43" s="18">
        <f t="shared" si="314"/>
        <v>106020.3356013289</v>
      </c>
      <c r="BF43" s="18">
        <f t="shared" si="314"/>
        <v>-71917.18778354059</v>
      </c>
      <c r="BG43" s="18">
        <f t="shared" si="314"/>
        <v>-8056.9148409199915</v>
      </c>
      <c r="BH43" s="18">
        <f t="shared" ref="BH43:BK43" si="315">-BH34</f>
        <v>-865.20490486609924</v>
      </c>
      <c r="BI43" s="18">
        <f t="shared" si="315"/>
        <v>15984.274764204987</v>
      </c>
      <c r="BJ43" s="18">
        <f t="shared" si="315"/>
        <v>-2349.408156301799</v>
      </c>
      <c r="BK43" s="18">
        <f t="shared" si="315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316">-BN34</f>
        <v>13019.871118909607</v>
      </c>
      <c r="BO43" s="18">
        <f t="shared" ref="BO43:BT43" si="317">-BO34</f>
        <v>-3561.9300978736924</v>
      </c>
      <c r="BP43" s="18">
        <f t="shared" si="317"/>
        <v>-46482.882011427937</v>
      </c>
      <c r="BQ43" s="18">
        <f t="shared" si="317"/>
        <v>-5630.0722190310007</v>
      </c>
      <c r="BR43" s="18">
        <f t="shared" si="317"/>
        <v>20336.100339979388</v>
      </c>
      <c r="BS43" s="18">
        <f t="shared" si="317"/>
        <v>-4102.3506581019974</v>
      </c>
      <c r="BT43" s="18">
        <f t="shared" si="317"/>
        <v>551.12593228199921</v>
      </c>
      <c r="BU43" s="18">
        <f t="shared" ref="BU43" si="318">-BU34</f>
        <v>20864.314401690008</v>
      </c>
      <c r="BV43" s="18">
        <f t="shared" ref="BV43:CA43" si="319">-BV34</f>
        <v>7016.0523119533991</v>
      </c>
      <c r="BW43" s="18">
        <f t="shared" si="319"/>
        <v>-11443.311515996054</v>
      </c>
      <c r="BX43" s="18">
        <f t="shared" si="319"/>
        <v>8073.0517213609128</v>
      </c>
      <c r="BY43" s="18">
        <f t="shared" si="319"/>
        <v>-484.6669333466034</v>
      </c>
      <c r="BZ43" s="18">
        <f t="shared" si="319"/>
        <v>8424.377354924989</v>
      </c>
      <c r="CA43" s="18">
        <f t="shared" si="319"/>
        <v>2672.4788302031066</v>
      </c>
      <c r="CB43" s="18">
        <f t="shared" ref="CB43:CI43" si="320">-CB34</f>
        <v>-23720.746079840723</v>
      </c>
      <c r="CC43" s="18">
        <f t="shared" si="320"/>
        <v>-5345.3588159887468</v>
      </c>
      <c r="CD43" s="18">
        <f t="shared" si="320"/>
        <v>28619.310363601919</v>
      </c>
      <c r="CE43" s="18">
        <f>-CE34</f>
        <v>18525.384707770143</v>
      </c>
      <c r="CF43" s="18">
        <f t="shared" si="320"/>
        <v>-4976.7559559910032</v>
      </c>
      <c r="CG43" s="18">
        <f t="shared" ref="CG43:CH43" si="321">-CG34</f>
        <v>9311.0363565595981</v>
      </c>
      <c r="CH43" s="18">
        <f t="shared" si="321"/>
        <v>-13099.514139852407</v>
      </c>
      <c r="CI43" s="18">
        <f t="shared" si="320"/>
        <v>-12880.961360016205</v>
      </c>
      <c r="CJ43" s="18">
        <f t="shared" ref="CJ43:CK43" si="322">-CJ34</f>
        <v>35615.392698735304</v>
      </c>
      <c r="CK43" s="18">
        <f t="shared" si="322"/>
        <v>-13210.992442871497</v>
      </c>
      <c r="CL43" s="18">
        <f t="shared" ref="CL43:CN43" si="323">-CL34</f>
        <v>-7965.6368983998163</v>
      </c>
      <c r="CM43" s="18">
        <f t="shared" ref="CM43" si="324">-CM34</f>
        <v>-7362.4242645037884</v>
      </c>
      <c r="CN43" s="18">
        <f t="shared" si="323"/>
        <v>-27621.8338785866</v>
      </c>
      <c r="CO43" s="18">
        <f t="shared" ref="CO43:CP43" si="325">-CO34</f>
        <v>-13616.217567376198</v>
      </c>
      <c r="CP43" s="18">
        <f t="shared" si="325"/>
        <v>-11605.741812324501</v>
      </c>
      <c r="CQ43" s="18">
        <f t="shared" ref="CQ43:CS43" si="326">-CQ34</f>
        <v>8664.1445537406998</v>
      </c>
      <c r="CR43" s="18">
        <f t="shared" ref="CR43" si="327">-CR34</f>
        <v>-7851.474826664502</v>
      </c>
      <c r="CS43" s="18">
        <f t="shared" si="326"/>
        <v>6252.3030450813831</v>
      </c>
      <c r="CT43" s="18">
        <f t="shared" ref="CT43:CU43" si="328">-CT34</f>
        <v>-15872.040602141145</v>
      </c>
      <c r="CU43" s="18">
        <f t="shared" si="328"/>
        <v>-962.59290258881265</v>
      </c>
      <c r="CV43" s="18">
        <f t="shared" ref="CV43:CW43" si="329">-CV34</f>
        <v>59853.03397022147</v>
      </c>
      <c r="CW43" s="18">
        <f t="shared" si="329"/>
        <v>21316.370526744435</v>
      </c>
      <c r="CX43" s="18">
        <f t="shared" ref="CX43:CY43" si="330">-CX34</f>
        <v>-28093.890260760185</v>
      </c>
      <c r="CY43" s="18">
        <f t="shared" si="330"/>
        <v>5115.5343095432008</v>
      </c>
      <c r="CZ43" s="42">
        <f t="shared" ref="CZ43:DA43" si="331">-CZ34</f>
        <v>-13263.194739819104</v>
      </c>
      <c r="DA43" s="42">
        <f t="shared" si="331"/>
        <v>-9514.6353110001</v>
      </c>
      <c r="DB43" s="42">
        <f t="shared" ref="DB43:DC43" si="332">-DB34</f>
        <v>5760.7784556449005</v>
      </c>
      <c r="DC43" s="42">
        <f t="shared" si="332"/>
        <v>-13218.245746667735</v>
      </c>
      <c r="DD43" s="42">
        <f t="shared" ref="DD43:DE43" si="333">-DD34</f>
        <v>11572.091585630145</v>
      </c>
      <c r="DE43" s="42">
        <f t="shared" si="333"/>
        <v>1985.4428935442736</v>
      </c>
      <c r="DF43" s="42">
        <f t="shared" ref="DF43:DG43" si="334">-DF34</f>
        <v>-46811.864694400851</v>
      </c>
      <c r="DG43" s="42">
        <f t="shared" si="334"/>
        <v>995.58676668212502</v>
      </c>
      <c r="DH43" s="42">
        <f t="shared" ref="DH43:DI43" si="335">-DH34</f>
        <v>56479.898850099969</v>
      </c>
      <c r="DI43" s="42">
        <f t="shared" si="335"/>
        <v>-17179.222112454707</v>
      </c>
    </row>
    <row r="44" spans="2:136" s="26" customFormat="1" ht="15.75" thickBot="1" x14ac:dyDescent="0.3">
      <c r="B44" s="47" t="s">
        <v>140</v>
      </c>
      <c r="C44" s="25" t="s">
        <v>69</v>
      </c>
      <c r="D44" s="48" t="s">
        <v>173</v>
      </c>
      <c r="E44" s="35">
        <f>+E27+E22</f>
        <v>5980.4000000000005</v>
      </c>
      <c r="F44" s="27">
        <f t="shared" ref="F44:P44" si="336">+F27+F22</f>
        <v>1850.2999999999993</v>
      </c>
      <c r="G44" s="27">
        <f t="shared" si="336"/>
        <v>9241.9000000000106</v>
      </c>
      <c r="H44" s="27">
        <f t="shared" si="336"/>
        <v>7987.6999999999989</v>
      </c>
      <c r="I44" s="27">
        <f t="shared" si="336"/>
        <v>62.499999999998181</v>
      </c>
      <c r="J44" s="27">
        <f t="shared" si="336"/>
        <v>14387.899999999998</v>
      </c>
      <c r="K44" s="27">
        <f t="shared" si="336"/>
        <v>541.20000000000618</v>
      </c>
      <c r="L44" s="27">
        <f t="shared" si="336"/>
        <v>2459.7000000000007</v>
      </c>
      <c r="M44" s="27">
        <f t="shared" si="336"/>
        <v>19175.799999999996</v>
      </c>
      <c r="N44" s="27">
        <f t="shared" si="336"/>
        <v>5713.9000000000015</v>
      </c>
      <c r="O44" s="27">
        <f t="shared" si="336"/>
        <v>11863.400000000001</v>
      </c>
      <c r="P44" s="45">
        <f t="shared" si="336"/>
        <v>32392.299999999996</v>
      </c>
      <c r="Q44" s="27">
        <f>+Q27+Q22</f>
        <v>-1278.100000000004</v>
      </c>
      <c r="R44" s="27">
        <f t="shared" ref="R44:AB44" si="337">+R27+R22</f>
        <v>4714.9999999999982</v>
      </c>
      <c r="S44" s="27">
        <f t="shared" si="337"/>
        <v>15515.1</v>
      </c>
      <c r="T44" s="27">
        <f t="shared" si="337"/>
        <v>6396.6000000000076</v>
      </c>
      <c r="U44" s="27">
        <f t="shared" si="337"/>
        <v>2668.4999999999982</v>
      </c>
      <c r="V44" s="27">
        <f t="shared" si="337"/>
        <v>15552.500000000004</v>
      </c>
      <c r="W44" s="27">
        <f t="shared" si="337"/>
        <v>2592.8000000000065</v>
      </c>
      <c r="X44" s="27">
        <f t="shared" si="337"/>
        <v>8553.8000000000065</v>
      </c>
      <c r="Y44" s="27">
        <f t="shared" si="337"/>
        <v>12109.499999999996</v>
      </c>
      <c r="Z44" s="27">
        <f t="shared" si="337"/>
        <v>9475.9000000000051</v>
      </c>
      <c r="AA44" s="27">
        <f t="shared" si="337"/>
        <v>2404.0000000000055</v>
      </c>
      <c r="AB44" s="45">
        <f t="shared" si="337"/>
        <v>38536</v>
      </c>
      <c r="AC44" s="27">
        <f>+AC27+AC22</f>
        <v>-5961.4999999999973</v>
      </c>
      <c r="AD44" s="27">
        <f t="shared" ref="AD44:AN44" si="338">+AD27+AD22</f>
        <v>8762.600000000004</v>
      </c>
      <c r="AE44" s="27">
        <f t="shared" si="338"/>
        <v>17160.700000000008</v>
      </c>
      <c r="AF44" s="27">
        <f t="shared" si="338"/>
        <v>7391.0999999999985</v>
      </c>
      <c r="AG44" s="27">
        <f t="shared" si="338"/>
        <v>5051.0999999999985</v>
      </c>
      <c r="AH44" s="27">
        <f t="shared" si="338"/>
        <v>18420.600000000002</v>
      </c>
      <c r="AI44" s="27">
        <f t="shared" si="338"/>
        <v>2942.6999999999971</v>
      </c>
      <c r="AJ44" s="27">
        <f t="shared" si="338"/>
        <v>2026.6999999999935</v>
      </c>
      <c r="AK44" s="27">
        <f t="shared" si="338"/>
        <v>10194.399999999991</v>
      </c>
      <c r="AL44" s="27">
        <f t="shared" si="338"/>
        <v>3456.700000000008</v>
      </c>
      <c r="AM44" s="27">
        <f t="shared" si="338"/>
        <v>10676.800000000001</v>
      </c>
      <c r="AN44" s="45">
        <f t="shared" si="338"/>
        <v>40673.80000000001</v>
      </c>
      <c r="AO44" s="27">
        <f>AO27+AO22</f>
        <v>6043.7239999999983</v>
      </c>
      <c r="AP44" s="27">
        <f t="shared" ref="AP44:AV44" si="339">AP27+AP22</f>
        <v>11487.862918000003</v>
      </c>
      <c r="AQ44" s="27">
        <f t="shared" si="339"/>
        <v>9280.3090000000011</v>
      </c>
      <c r="AR44" s="27">
        <f t="shared" si="339"/>
        <v>9618.721000000005</v>
      </c>
      <c r="AS44" s="27">
        <f t="shared" si="339"/>
        <v>5223.5840328099985</v>
      </c>
      <c r="AT44" s="27">
        <f t="shared" si="339"/>
        <v>11905.710000000014</v>
      </c>
      <c r="AU44" s="27">
        <f t="shared" si="339"/>
        <v>2655.0639999999948</v>
      </c>
      <c r="AV44" s="27">
        <f t="shared" si="339"/>
        <v>7386.0000000000073</v>
      </c>
      <c r="AW44" s="27">
        <f t="shared" ref="AW44:AX44" si="340">AW27+AW22</f>
        <v>13187.399999999998</v>
      </c>
      <c r="AX44" s="27">
        <f t="shared" si="340"/>
        <v>9971.5180000000037</v>
      </c>
      <c r="AY44" s="27">
        <f t="shared" ref="AY44:AZ44" si="341">AY27+AY22</f>
        <v>5324.1579999999976</v>
      </c>
      <c r="AZ44" s="27">
        <f t="shared" si="341"/>
        <v>43796.237999999983</v>
      </c>
      <c r="BA44" s="27">
        <f t="shared" ref="BA44:BB44" si="342">BA27+BA22</f>
        <v>6608.6114970906037</v>
      </c>
      <c r="BB44" s="27">
        <f t="shared" si="342"/>
        <v>8884.6125251358972</v>
      </c>
      <c r="BC44" s="27">
        <f t="shared" ref="BC44:BD44" si="343">BC27+BC22</f>
        <v>15143.7376112278</v>
      </c>
      <c r="BD44" s="27">
        <f t="shared" si="343"/>
        <v>7928.1494981898104</v>
      </c>
      <c r="BE44" s="27">
        <f t="shared" ref="BE44:BG44" si="344">BE27+BE22</f>
        <v>13482.671391792997</v>
      </c>
      <c r="BF44" s="27">
        <f t="shared" si="344"/>
        <v>10241.319748068796</v>
      </c>
      <c r="BG44" s="27">
        <f t="shared" si="344"/>
        <v>3179.6039106600092</v>
      </c>
      <c r="BH44" s="27">
        <f t="shared" ref="BH44:BI44" si="345">BH27+BH22</f>
        <v>5285.7377266539006</v>
      </c>
      <c r="BI44" s="27">
        <f t="shared" si="345"/>
        <v>25787.653174094987</v>
      </c>
      <c r="BJ44" s="27">
        <f t="shared" ref="BJ44:BK44" si="346">BJ27+BJ22</f>
        <v>11741.7181082563</v>
      </c>
      <c r="BK44" s="27">
        <f t="shared" si="346"/>
        <v>8492.3083739676895</v>
      </c>
      <c r="BL44" s="27">
        <f t="shared" ref="BL44:BM44" si="347">BL27+BL22</f>
        <v>27128.315060046207</v>
      </c>
      <c r="BM44" s="27">
        <f t="shared" si="347"/>
        <v>7735.5471816091303</v>
      </c>
      <c r="BN44" s="27">
        <f t="shared" ref="BN44:BO44" si="348">BN27+BN22</f>
        <v>8016.8471496280072</v>
      </c>
      <c r="BO44" s="27">
        <f t="shared" si="348"/>
        <v>15588.675009269507</v>
      </c>
      <c r="BP44" s="27">
        <f t="shared" ref="BP44:BQ44" si="349">BP27+BP22</f>
        <v>6894.0267067801724</v>
      </c>
      <c r="BQ44" s="27">
        <f t="shared" si="349"/>
        <v>3855.023124931</v>
      </c>
      <c r="BR44" s="27">
        <f t="shared" ref="BR44:BS44" si="350">BR27+BR22</f>
        <v>31686.941461230286</v>
      </c>
      <c r="BS44" s="27">
        <f t="shared" si="350"/>
        <v>5008.2745373505022</v>
      </c>
      <c r="BT44" s="27">
        <f t="shared" ref="BT44:BU44" si="351">BT27+BT22</f>
        <v>4402.8674809954991</v>
      </c>
      <c r="BU44" s="27">
        <f t="shared" si="351"/>
        <v>24496.240334800008</v>
      </c>
      <c r="BV44" s="27">
        <f t="shared" ref="BV44:BW44" si="352">BV27+BV22</f>
        <v>11251.835009060998</v>
      </c>
      <c r="BW44" s="27">
        <f t="shared" si="352"/>
        <v>6026.8801260683449</v>
      </c>
      <c r="BX44" s="27">
        <f t="shared" ref="BX44:BY44" si="353">BX27+BX22</f>
        <v>28612.681801304512</v>
      </c>
      <c r="BY44" s="27">
        <f t="shared" si="353"/>
        <v>7160.0715998805972</v>
      </c>
      <c r="BZ44" s="27">
        <f t="shared" ref="BZ44:CA44" si="354">BZ27+BZ22</f>
        <v>8182.9258030528881</v>
      </c>
      <c r="CA44" s="27">
        <f t="shared" si="354"/>
        <v>22582.327124179476</v>
      </c>
      <c r="CB44" s="27">
        <f t="shared" ref="CB44:CF44" si="355">CB27+CB22</f>
        <v>11396.107140426073</v>
      </c>
      <c r="CC44" s="27">
        <f t="shared" si="355"/>
        <v>4936.2119227924541</v>
      </c>
      <c r="CD44" s="27">
        <f t="shared" si="355"/>
        <v>26413.667000319918</v>
      </c>
      <c r="CE44" s="27">
        <f t="shared" si="355"/>
        <v>4536.6112015678427</v>
      </c>
      <c r="CF44" s="27">
        <f t="shared" si="355"/>
        <v>8863.2820763413965</v>
      </c>
      <c r="CG44" s="27">
        <f t="shared" ref="CG44:CI44" si="356">CG27+CG22</f>
        <v>18638.975193655799</v>
      </c>
      <c r="CH44" s="27">
        <f t="shared" ref="CH44" si="357">CH27+CH22</f>
        <v>5513.7752863141031</v>
      </c>
      <c r="CI44" s="27">
        <f t="shared" si="356"/>
        <v>2850.4860135214185</v>
      </c>
      <c r="CJ44" s="27">
        <f t="shared" ref="CJ44" si="358">CJ27+CJ22</f>
        <v>29817.649773493293</v>
      </c>
      <c r="CK44" s="27">
        <f>CK27+CK22</f>
        <v>-2033.1633622158479</v>
      </c>
      <c r="CL44" s="27">
        <f t="shared" ref="CL44" si="359">CL27+CL22</f>
        <v>-3646.8689380980159</v>
      </c>
      <c r="CM44" s="27">
        <f t="shared" ref="CM44:CS44" si="360">CM27+CM22</f>
        <v>2603.8619171238115</v>
      </c>
      <c r="CN44" s="27">
        <f t="shared" si="360"/>
        <v>-7698.4429892842018</v>
      </c>
      <c r="CO44" s="27">
        <f t="shared" si="360"/>
        <v>-5536.3829089455976</v>
      </c>
      <c r="CP44" s="27">
        <f t="shared" si="360"/>
        <v>18830.962526173014</v>
      </c>
      <c r="CQ44" s="27">
        <f t="shared" si="360"/>
        <v>1080.2650764657956</v>
      </c>
      <c r="CR44" s="27">
        <f t="shared" ref="CR44" si="361">CR27+CR22</f>
        <v>1959.338671985498</v>
      </c>
      <c r="CS44" s="27">
        <f t="shared" si="360"/>
        <v>11973.469238391595</v>
      </c>
      <c r="CT44" s="27">
        <f t="shared" ref="CT44:CU44" si="362">CT27+CT22</f>
        <v>8918.7101630011057</v>
      </c>
      <c r="CU44" s="27">
        <f t="shared" si="362"/>
        <v>6362.9271451659952</v>
      </c>
      <c r="CV44" s="27">
        <f t="shared" ref="CV44:CW44" si="363">CV27+CV22</f>
        <v>35713.035726990682</v>
      </c>
      <c r="CW44" s="27">
        <f t="shared" si="363"/>
        <v>23935.372548848885</v>
      </c>
      <c r="CX44" s="27">
        <f t="shared" ref="CX44:CY44" si="364">CX27+CX22</f>
        <v>-379.41152151758433</v>
      </c>
      <c r="CY44" s="27">
        <f t="shared" si="364"/>
        <v>11008.813876458702</v>
      </c>
      <c r="CZ44" s="45">
        <f t="shared" ref="CZ44:DA44" si="365">CZ27+CZ22</f>
        <v>3649.627366042394</v>
      </c>
      <c r="DA44" s="45">
        <f t="shared" si="365"/>
        <v>3018.3553183764016</v>
      </c>
      <c r="DB44" s="45">
        <f t="shared" ref="DB44:DC44" si="366">DB27+DB22</f>
        <v>20379.830990127262</v>
      </c>
      <c r="DC44" s="45">
        <f t="shared" si="366"/>
        <v>-2107.5419686506339</v>
      </c>
      <c r="DD44" s="45">
        <f t="shared" ref="DD44:DE44" si="367">DD27+DD22</f>
        <v>12097.357381919912</v>
      </c>
      <c r="DE44" s="45">
        <f t="shared" si="367"/>
        <v>11222.46888961699</v>
      </c>
      <c r="DF44" s="45">
        <f t="shared" ref="DF44:DG44" si="368">DF27+DF22</f>
        <v>13011.714927329147</v>
      </c>
      <c r="DG44" s="45">
        <f t="shared" si="368"/>
        <v>10762.616765963423</v>
      </c>
      <c r="DH44" s="45">
        <f t="shared" ref="DH44:DI44" si="369">DH27+DH22</f>
        <v>51777.614023448972</v>
      </c>
      <c r="DI44" s="45">
        <f t="shared" si="369"/>
        <v>-860.08297055190633</v>
      </c>
    </row>
  </sheetData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>
      <formula1>$XBH$2:$XBH$4</formula1>
    </dataValidation>
    <dataValidation type="list" allowBlank="1" showErrorMessage="1" prompt="_x000a_" sqref="C5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terron.francis</cp:lastModifiedBy>
  <cp:lastPrinted>2017-04-28T21:12:58Z</cp:lastPrinted>
  <dcterms:created xsi:type="dcterms:W3CDTF">2017-01-20T00:36:51Z</dcterms:created>
  <dcterms:modified xsi:type="dcterms:W3CDTF">2022-05-31T22:42:29Z</dcterms:modified>
</cp:coreProperties>
</file>