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GD NATIONAL DEBT SUMMARY PAGE\2024\03. March 2024\"/>
    </mc:Choice>
  </mc:AlternateContent>
  <xr:revisionPtr revIDLastSave="0" documentId="13_ncr:1_{583AB014-0B34-4DF3-BDD9-7DF0A9F949A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G13" i="1" l="1"/>
  <c r="DG18" i="1"/>
  <c r="DG24" i="1"/>
  <c r="DG30" i="1"/>
  <c r="DF13" i="1"/>
  <c r="DF18" i="1"/>
  <c r="DF24" i="1"/>
  <c r="DF30" i="1"/>
  <c r="DE13" i="1"/>
  <c r="DE18" i="1"/>
  <c r="DE24" i="1"/>
  <c r="DE30" i="1"/>
  <c r="DG23" i="1" l="1"/>
  <c r="DG12" i="1"/>
  <c r="DF23" i="1"/>
  <c r="DF12" i="1"/>
  <c r="DE12" i="1"/>
  <c r="DE11" i="1" s="1"/>
  <c r="DE23" i="1"/>
  <c r="DD13" i="1"/>
  <c r="DD18" i="1"/>
  <c r="DD24" i="1"/>
  <c r="DD30" i="1"/>
  <c r="DG11" i="1" l="1"/>
  <c r="DF11" i="1"/>
  <c r="DD12" i="1"/>
  <c r="DD23" i="1"/>
  <c r="DC13" i="1"/>
  <c r="DC18" i="1"/>
  <c r="DC12" i="1" s="1"/>
  <c r="DC24" i="1"/>
  <c r="DC30" i="1"/>
  <c r="DB13" i="1"/>
  <c r="DB18" i="1"/>
  <c r="DB24" i="1"/>
  <c r="DB30" i="1"/>
  <c r="DA13" i="1"/>
  <c r="DA18" i="1"/>
  <c r="DA24" i="1"/>
  <c r="DA30" i="1"/>
  <c r="CZ30" i="1"/>
  <c r="DD11" i="1" l="1"/>
  <c r="DC23" i="1"/>
  <c r="DC11" i="1" s="1"/>
  <c r="DB12" i="1"/>
  <c r="DB23" i="1"/>
  <c r="DA23" i="1"/>
  <c r="DA12" i="1"/>
  <c r="CZ13" i="1"/>
  <c r="CZ18" i="1"/>
  <c r="CZ24" i="1"/>
  <c r="CZ23" i="1" s="1"/>
  <c r="DB11" i="1" l="1"/>
  <c r="DA11" i="1"/>
  <c r="CZ12" i="1"/>
  <c r="CZ11" i="1" s="1"/>
  <c r="CY13" i="1" l="1"/>
  <c r="CY18" i="1"/>
  <c r="CY24" i="1"/>
  <c r="CY30" i="1"/>
  <c r="CW13" i="1"/>
  <c r="CX13" i="1"/>
  <c r="CW18" i="1"/>
  <c r="CX18" i="1"/>
  <c r="CW24" i="1"/>
  <c r="CX24" i="1"/>
  <c r="CW30" i="1"/>
  <c r="CX30" i="1"/>
  <c r="CY23" i="1" l="1"/>
  <c r="CY12" i="1"/>
  <c r="CX12" i="1"/>
  <c r="CW12" i="1"/>
  <c r="CW23" i="1"/>
  <c r="CX23" i="1"/>
  <c r="CX11" i="1" s="1"/>
  <c r="CW11" i="1"/>
  <c r="CY11" i="1" l="1"/>
  <c r="CV13" i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T13" i="1"/>
  <c r="CT18" i="1"/>
  <c r="CT24" i="1"/>
  <c r="CT30" i="1"/>
  <c r="CU11" i="1" l="1"/>
  <c r="CT12" i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<sst xmlns="http://schemas.openxmlformats.org/spreadsheetml/2006/main" count="202" uniqueCount="193">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</sst>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  <numFmt numFmtId="174" formatCode="_(&quot;$&quot;* #,##0.00_);_(&quot;$&quot;* \(#,##0.00\);_(&quot;$&quot;* &quot;-&quot;??_);_(@_)"/>
  </numFmts>
  <fonts count="4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sz val="12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91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6" applyNumberFormat="0" applyAlignment="0" applyProtection="0"/>
    <xf numFmtId="0" fontId="38" fillId="6" borderId="27" applyNumberFormat="0" applyAlignment="0" applyProtection="0"/>
    <xf numFmtId="0" fontId="39" fillId="6" borderId="26" applyNumberFormat="0" applyAlignment="0" applyProtection="0"/>
    <xf numFmtId="0" fontId="40" fillId="0" borderId="28" applyNumberFormat="0" applyFill="0" applyAlignment="0" applyProtection="0"/>
    <xf numFmtId="0" fontId="41" fillId="7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7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33" fillId="0" borderId="0"/>
    <xf numFmtId="164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74" fontId="12" fillId="0" borderId="0" applyFont="0" applyFill="0" applyBorder="0" applyAlignment="0" applyProtection="0"/>
    <xf numFmtId="0" fontId="9" fillId="10" borderId="0" applyNumberFormat="0" applyBorder="0" applyAlignment="0" applyProtection="0"/>
    <xf numFmtId="17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7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17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/>
    <xf numFmtId="0" fontId="47" fillId="0" borderId="0"/>
    <xf numFmtId="43" fontId="9" fillId="0" borderId="0" applyFont="0" applyFill="0" applyBorder="0" applyAlignment="0" applyProtection="0"/>
  </cellStyleXfs>
  <cellXfs count="149">
    <xf numFmtId="0" fontId="0" fillId="0" borderId="0" xfId="0"/>
    <xf numFmtId="0" fontId="5" fillId="0" borderId="0" xfId="1" applyFont="1"/>
    <xf numFmtId="165" fontId="0" fillId="0" borderId="0" xfId="0" applyNumberFormat="1"/>
    <xf numFmtId="165" fontId="5" fillId="0" borderId="0" xfId="1" applyNumberFormat="1" applyFont="1"/>
    <xf numFmtId="165" fontId="8" fillId="0" borderId="0" xfId="1" applyNumberFormat="1" applyFont="1"/>
    <xf numFmtId="165" fontId="5" fillId="0" borderId="9" xfId="1" applyNumberFormat="1" applyFont="1" applyBorder="1"/>
    <xf numFmtId="165" fontId="8" fillId="0" borderId="9" xfId="1" applyNumberFormat="1" applyFont="1" applyBorder="1"/>
    <xf numFmtId="0" fontId="1" fillId="0" borderId="11" xfId="0" applyFont="1" applyBorder="1" applyAlignment="1">
      <alignment horizontal="center"/>
    </xf>
    <xf numFmtId="4" fontId="0" fillId="0" borderId="0" xfId="0" applyNumberFormat="1"/>
    <xf numFmtId="43" fontId="0" fillId="0" borderId="0" xfId="2" applyFont="1" applyFill="1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5" fontId="0" fillId="0" borderId="7" xfId="0" applyNumberFormat="1" applyBorder="1"/>
    <xf numFmtId="4" fontId="0" fillId="0" borderId="7" xfId="0" applyNumberFormat="1" applyBorder="1"/>
    <xf numFmtId="43" fontId="10" fillId="0" borderId="0" xfId="2" applyFont="1" applyFill="1" applyBorder="1"/>
    <xf numFmtId="43" fontId="0" fillId="0" borderId="0" xfId="0" applyNumberFormat="1"/>
    <xf numFmtId="43" fontId="12" fillId="0" borderId="0" xfId="2" applyFont="1" applyFill="1" applyBorder="1"/>
    <xf numFmtId="0" fontId="0" fillId="0" borderId="0" xfId="0" applyAlignment="1">
      <alignment vertical="top" wrapText="1"/>
    </xf>
    <xf numFmtId="0" fontId="11" fillId="0" borderId="0" xfId="0" applyFont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/>
    <xf numFmtId="4" fontId="2" fillId="0" borderId="0" xfId="0" applyNumberFormat="1" applyFont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5" fillId="0" borderId="14" xfId="1" applyNumberFormat="1" applyFont="1" applyBorder="1"/>
    <xf numFmtId="165" fontId="5" fillId="0" borderId="15" xfId="1" applyNumberFormat="1" applyFont="1" applyBorder="1"/>
    <xf numFmtId="165" fontId="8" fillId="0" borderId="16" xfId="1" applyNumberFormat="1" applyFont="1" applyBorder="1"/>
    <xf numFmtId="165" fontId="8" fillId="0" borderId="17" xfId="1" applyNumberFormat="1" applyFont="1" applyBorder="1"/>
    <xf numFmtId="164" fontId="0" fillId="0" borderId="0" xfId="2" applyNumberFormat="1" applyFont="1" applyFill="1" applyBorder="1"/>
    <xf numFmtId="165" fontId="14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166" fontId="14" fillId="0" borderId="0" xfId="0" applyNumberFormat="1" applyFont="1"/>
    <xf numFmtId="2" fontId="14" fillId="0" borderId="0" xfId="0" applyNumberFormat="1" applyFont="1"/>
    <xf numFmtId="4" fontId="14" fillId="0" borderId="0" xfId="2" applyNumberFormat="1" applyFont="1" applyFill="1" applyBorder="1"/>
    <xf numFmtId="4" fontId="16" fillId="0" borderId="0" xfId="0" applyNumberFormat="1" applyFont="1"/>
    <xf numFmtId="43" fontId="0" fillId="0" borderId="0" xfId="2" applyFont="1" applyFill="1"/>
    <xf numFmtId="164" fontId="0" fillId="0" borderId="0" xfId="0" applyNumberFormat="1"/>
    <xf numFmtId="165" fontId="15" fillId="0" borderId="0" xfId="0" applyNumberFormat="1" applyFont="1"/>
    <xf numFmtId="4" fontId="14" fillId="0" borderId="7" xfId="0" applyNumberFormat="1" applyFont="1" applyBorder="1"/>
    <xf numFmtId="4" fontId="14" fillId="0" borderId="0" xfId="0" applyNumberFormat="1" applyFont="1" applyAlignment="1">
      <alignment horizontal="right"/>
    </xf>
    <xf numFmtId="4" fontId="10" fillId="0" borderId="0" xfId="0" applyNumberFormat="1" applyFont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165" fontId="8" fillId="0" borderId="7" xfId="1" applyNumberFormat="1" applyFont="1" applyBorder="1"/>
    <xf numFmtId="0" fontId="10" fillId="0" borderId="12" xfId="0" applyFont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/>
    <xf numFmtId="165" fontId="11" fillId="0" borderId="0" xfId="2" applyNumberFormat="1" applyFont="1" applyFill="1" applyBorder="1"/>
    <xf numFmtId="43" fontId="10" fillId="0" borderId="0" xfId="0" applyNumberFormat="1" applyFont="1"/>
    <xf numFmtId="4" fontId="10" fillId="0" borderId="4" xfId="0" applyNumberFormat="1" applyFont="1" applyBorder="1"/>
    <xf numFmtId="169" fontId="10" fillId="0" borderId="0" xfId="0" applyNumberFormat="1" applyFont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7" xfId="0" applyNumberFormat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Border="1"/>
    <xf numFmtId="4" fontId="0" fillId="0" borderId="2" xfId="2" applyNumberFormat="1" applyFont="1" applyFill="1" applyBorder="1"/>
    <xf numFmtId="4" fontId="0" fillId="0" borderId="8" xfId="0" applyNumberFormat="1" applyBorder="1"/>
    <xf numFmtId="4" fontId="10" fillId="0" borderId="2" xfId="0" applyNumberFormat="1" applyFont="1" applyBorder="1"/>
    <xf numFmtId="170" fontId="0" fillId="0" borderId="0" xfId="0" applyNumberForma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/>
    <xf numFmtId="0" fontId="24" fillId="0" borderId="0" xfId="0" applyFont="1"/>
    <xf numFmtId="43" fontId="24" fillId="0" borderId="0" xfId="2" applyFont="1" applyFill="1" applyBorder="1"/>
    <xf numFmtId="171" fontId="0" fillId="0" borderId="0" xfId="0" applyNumberFormat="1"/>
    <xf numFmtId="4" fontId="10" fillId="0" borderId="5" xfId="0" applyNumberFormat="1" applyFont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Alignment="1">
      <alignment horizontal="center"/>
    </xf>
    <xf numFmtId="4" fontId="2" fillId="0" borderId="2" xfId="0" applyNumberFormat="1" applyFont="1" applyBorder="1"/>
    <xf numFmtId="172" fontId="0" fillId="0" borderId="0" xfId="2" applyNumberFormat="1" applyFont="1" applyFill="1"/>
    <xf numFmtId="173" fontId="0" fillId="0" borderId="0" xfId="2" applyNumberFormat="1" applyFont="1" applyFill="1"/>
    <xf numFmtId="171" fontId="25" fillId="0" borderId="0" xfId="0" applyNumberFormat="1" applyFont="1"/>
    <xf numFmtId="0" fontId="10" fillId="0" borderId="19" xfId="0" applyFont="1" applyBorder="1" applyAlignment="1">
      <alignment horizontal="center"/>
    </xf>
    <xf numFmtId="4" fontId="10" fillId="0" borderId="20" xfId="0" applyNumberFormat="1" applyFont="1" applyBorder="1"/>
    <xf numFmtId="4" fontId="10" fillId="0" borderId="21" xfId="0" applyNumberFormat="1" applyFont="1" applyBorder="1"/>
    <xf numFmtId="4" fontId="0" fillId="0" borderId="21" xfId="0" applyNumberFormat="1" applyBorder="1"/>
    <xf numFmtId="4" fontId="0" fillId="0" borderId="22" xfId="0" applyNumberFormat="1" applyBorder="1"/>
    <xf numFmtId="39" fontId="0" fillId="0" borderId="0" xfId="0" applyNumberFormat="1"/>
    <xf numFmtId="39" fontId="46" fillId="0" borderId="0" xfId="0" applyNumberFormat="1" applyFont="1"/>
    <xf numFmtId="0" fontId="0" fillId="0" borderId="21" xfId="0" applyBorder="1"/>
    <xf numFmtId="0" fontId="24" fillId="0" borderId="0" xfId="0" applyFont="1" applyAlignment="1">
      <alignment horizontal="center"/>
    </xf>
    <xf numFmtId="0" fontId="0" fillId="0" borderId="0" xfId="0" applyFill="1"/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" fontId="0" fillId="0" borderId="21" xfId="0" applyNumberFormat="1" applyFill="1" applyBorder="1"/>
    <xf numFmtId="0" fontId="0" fillId="0" borderId="21" xfId="0" applyFill="1" applyBorder="1"/>
    <xf numFmtId="4" fontId="0" fillId="0" borderId="22" xfId="0" applyNumberFormat="1" applyFill="1" applyBorder="1"/>
  </cellXfs>
  <cellStyles count="3991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2 2" xfId="2659" xr:uid="{446987EF-071A-4DF8-9C9B-294A215D4893}"/>
    <cellStyle name="Comma 10 3" xfId="630" xr:uid="{00000000-0005-0000-0000-000082020000}"/>
    <cellStyle name="Comma 10 3 2" xfId="2660" xr:uid="{7CCE91C6-5D59-4236-8FAD-BC9C359229F1}"/>
    <cellStyle name="Comma 10 4" xfId="631" xr:uid="{00000000-0005-0000-0000-000083020000}"/>
    <cellStyle name="Comma 10 4 2" xfId="2661" xr:uid="{36129720-2C99-4BC7-B1AB-7EF92333B305}"/>
    <cellStyle name="Comma 10 5" xfId="2609" xr:uid="{00000000-0005-0000-0000-000084020000}"/>
    <cellStyle name="Comma 10 5 2" xfId="3963" xr:uid="{FACA6841-88D3-434A-AB81-5A043E1707EB}"/>
    <cellStyle name="Comma 10 6" xfId="2658" xr:uid="{1A9A5CAE-216F-4E34-B0F9-2241E382A53B}"/>
    <cellStyle name="Comma 11" xfId="632" xr:uid="{00000000-0005-0000-0000-000085020000}"/>
    <cellStyle name="Comma 11 2" xfId="633" xr:uid="{00000000-0005-0000-0000-000086020000}"/>
    <cellStyle name="Comma 11 2 2" xfId="2663" xr:uid="{D5FA65C5-F649-4C46-912A-54EF249AF095}"/>
    <cellStyle name="Comma 11 3" xfId="634" xr:uid="{00000000-0005-0000-0000-000087020000}"/>
    <cellStyle name="Comma 11 3 2" xfId="2664" xr:uid="{836A4FC2-001A-42F6-B132-BD1067D6E730}"/>
    <cellStyle name="Comma 11 4" xfId="635" xr:uid="{00000000-0005-0000-0000-000088020000}"/>
    <cellStyle name="Comma 11 4 2" xfId="2665" xr:uid="{3BE71AB6-698D-412F-B40C-6AC2F5C00BB5}"/>
    <cellStyle name="Comma 11 5" xfId="2662" xr:uid="{8EFF4641-92F5-42DA-AD88-3C9EA2D26ECF}"/>
    <cellStyle name="Comma 12" xfId="636" xr:uid="{00000000-0005-0000-0000-000089020000}"/>
    <cellStyle name="Comma 12 2" xfId="637" xr:uid="{00000000-0005-0000-0000-00008A020000}"/>
    <cellStyle name="Comma 12 2 2" xfId="2667" xr:uid="{998C2FE2-E774-4B0C-B22E-20719B629BFB}"/>
    <cellStyle name="Comma 12 3" xfId="638" xr:uid="{00000000-0005-0000-0000-00008B020000}"/>
    <cellStyle name="Comma 12 3 2" xfId="2668" xr:uid="{898F7B8A-0857-437D-969B-AB720DC92376}"/>
    <cellStyle name="Comma 12 4" xfId="639" xr:uid="{00000000-0005-0000-0000-00008C020000}"/>
    <cellStyle name="Comma 12 4 2" xfId="2669" xr:uid="{9080B584-7C65-409B-83A6-D971417D8F1F}"/>
    <cellStyle name="Comma 12 5" xfId="2666" xr:uid="{22684C8A-F1B5-4A62-B190-0A272C44B5A8}"/>
    <cellStyle name="Comma 13" xfId="640" xr:uid="{00000000-0005-0000-0000-00008D020000}"/>
    <cellStyle name="Comma 13 2" xfId="641" xr:uid="{00000000-0005-0000-0000-00008E020000}"/>
    <cellStyle name="Comma 13 2 2" xfId="2671" xr:uid="{8E9C5339-C983-4B26-8302-67B8907BD6B2}"/>
    <cellStyle name="Comma 13 3" xfId="642" xr:uid="{00000000-0005-0000-0000-00008F020000}"/>
    <cellStyle name="Comma 13 3 2" xfId="2672" xr:uid="{858AC9DE-EA89-4332-9622-CC544606A12A}"/>
    <cellStyle name="Comma 13 4" xfId="643" xr:uid="{00000000-0005-0000-0000-000090020000}"/>
    <cellStyle name="Comma 13 4 2" xfId="2673" xr:uid="{C55FFAFB-BEEB-45B1-A29E-B9955471F281}"/>
    <cellStyle name="Comma 13 5" xfId="2670" xr:uid="{3A7FA69E-72D5-4E28-B5C1-DCEC98720D7A}"/>
    <cellStyle name="Comma 14" xfId="644" xr:uid="{00000000-0005-0000-0000-000091020000}"/>
    <cellStyle name="Comma 14 2" xfId="645" xr:uid="{00000000-0005-0000-0000-000092020000}"/>
    <cellStyle name="Comma 14 2 2" xfId="2675" xr:uid="{E86D857C-81B4-494F-80C4-71A2C1302196}"/>
    <cellStyle name="Comma 14 3" xfId="646" xr:uid="{00000000-0005-0000-0000-000093020000}"/>
    <cellStyle name="Comma 14 3 2" xfId="2676" xr:uid="{9104DF49-AA88-4E72-85EE-E5B9190AD805}"/>
    <cellStyle name="Comma 14 4" xfId="647" xr:uid="{00000000-0005-0000-0000-000094020000}"/>
    <cellStyle name="Comma 14 4 2" xfId="2677" xr:uid="{DB5DCB4C-6EC4-4A82-B3E4-A3D69682BCF2}"/>
    <cellStyle name="Comma 14 5" xfId="2674" xr:uid="{FB4D7E4F-E569-41C7-9F87-0B7B814FCD33}"/>
    <cellStyle name="Comma 15" xfId="648" xr:uid="{00000000-0005-0000-0000-000095020000}"/>
    <cellStyle name="Comma 15 2" xfId="649" xr:uid="{00000000-0005-0000-0000-000096020000}"/>
    <cellStyle name="Comma 15 2 2" xfId="2679" xr:uid="{BB9A8D01-0F86-4263-ADF4-20496BE44DD8}"/>
    <cellStyle name="Comma 15 3" xfId="650" xr:uid="{00000000-0005-0000-0000-000097020000}"/>
    <cellStyle name="Comma 15 3 2" xfId="2680" xr:uid="{5F844D41-A0CE-4E4B-9E0A-A98A3B58FC52}"/>
    <cellStyle name="Comma 15 4" xfId="651" xr:uid="{00000000-0005-0000-0000-000098020000}"/>
    <cellStyle name="Comma 15 4 2" xfId="2681" xr:uid="{72527F8E-2835-4ACC-959F-21A5E0FB8C41}"/>
    <cellStyle name="Comma 15 5" xfId="2678" xr:uid="{3F2AA29E-AC19-4261-B291-24A65C62C037}"/>
    <cellStyle name="Comma 16" xfId="652" xr:uid="{00000000-0005-0000-0000-000099020000}"/>
    <cellStyle name="Comma 16 2" xfId="653" xr:uid="{00000000-0005-0000-0000-00009A020000}"/>
    <cellStyle name="Comma 16 2 2" xfId="2683" xr:uid="{F7A69410-5AC1-40F1-ACF2-9B9150FD2CC2}"/>
    <cellStyle name="Comma 16 3" xfId="654" xr:uid="{00000000-0005-0000-0000-00009B020000}"/>
    <cellStyle name="Comma 16 3 2" xfId="2684" xr:uid="{E665F7BF-4B03-4E0B-8416-C3774173E465}"/>
    <cellStyle name="Comma 16 4" xfId="655" xr:uid="{00000000-0005-0000-0000-00009C020000}"/>
    <cellStyle name="Comma 16 4 2" xfId="2685" xr:uid="{953B41E2-D542-4A2A-969D-E3F77108F877}"/>
    <cellStyle name="Comma 16 5" xfId="2682" xr:uid="{1F6D2212-F101-4BDC-8A97-A2C9B07072C8}"/>
    <cellStyle name="Comma 17" xfId="656" xr:uid="{00000000-0005-0000-0000-00009D020000}"/>
    <cellStyle name="Comma 17 2" xfId="657" xr:uid="{00000000-0005-0000-0000-00009E020000}"/>
    <cellStyle name="Comma 17 2 2" xfId="2687" xr:uid="{2893D2B0-B8DC-4F3C-B8F7-30E8035EA545}"/>
    <cellStyle name="Comma 17 3" xfId="658" xr:uid="{00000000-0005-0000-0000-00009F020000}"/>
    <cellStyle name="Comma 17 3 2" xfId="2688" xr:uid="{47F0B15E-E0B4-401E-A78D-0FCD92D4E0B3}"/>
    <cellStyle name="Comma 17 4" xfId="659" xr:uid="{00000000-0005-0000-0000-0000A0020000}"/>
    <cellStyle name="Comma 17 4 2" xfId="2689" xr:uid="{B1B87359-5CBE-4755-B910-47884769757B}"/>
    <cellStyle name="Comma 17 5" xfId="2686" xr:uid="{C21E6E7A-64D5-456F-8C7F-A71035AE8CDE}"/>
    <cellStyle name="Comma 18" xfId="660" xr:uid="{00000000-0005-0000-0000-0000A1020000}"/>
    <cellStyle name="Comma 18 2" xfId="661" xr:uid="{00000000-0005-0000-0000-0000A2020000}"/>
    <cellStyle name="Comma 18 2 2" xfId="2691" xr:uid="{21400E3E-71D5-4F2B-8D28-C51ACF1B9F06}"/>
    <cellStyle name="Comma 18 3" xfId="662" xr:uid="{00000000-0005-0000-0000-0000A3020000}"/>
    <cellStyle name="Comma 18 3 2" xfId="2692" xr:uid="{25A4DAB6-8B8D-4EF6-A758-DFA2BEB0AE10}"/>
    <cellStyle name="Comma 18 4" xfId="663" xr:uid="{00000000-0005-0000-0000-0000A4020000}"/>
    <cellStyle name="Comma 18 4 2" xfId="2693" xr:uid="{AE491A26-49D1-4276-B1DD-027CB2250F07}"/>
    <cellStyle name="Comma 18 5" xfId="2690" xr:uid="{C67FFF11-6E11-450B-9272-E0FF0FC2CF66}"/>
    <cellStyle name="Comma 19" xfId="664" xr:uid="{00000000-0005-0000-0000-0000A5020000}"/>
    <cellStyle name="Comma 19 2" xfId="665" xr:uid="{00000000-0005-0000-0000-0000A6020000}"/>
    <cellStyle name="Comma 19 2 2" xfId="2695" xr:uid="{B2197FBB-57D8-489F-8C18-4FF5DD06FFF7}"/>
    <cellStyle name="Comma 19 3" xfId="666" xr:uid="{00000000-0005-0000-0000-0000A7020000}"/>
    <cellStyle name="Comma 19 3 2" xfId="2696" xr:uid="{DBA527AC-4589-43A1-962F-21DB228314E3}"/>
    <cellStyle name="Comma 19 4" xfId="667" xr:uid="{00000000-0005-0000-0000-0000A8020000}"/>
    <cellStyle name="Comma 19 4 2" xfId="2697" xr:uid="{95619665-6991-42D8-8989-5AAD057925DE}"/>
    <cellStyle name="Comma 19 5" xfId="2694" xr:uid="{8B064A77-E08B-45C8-B0D6-D5F4F1A9BC8B}"/>
    <cellStyle name="Comma 2" xfId="4" xr:uid="{00000000-0005-0000-0000-0000A9020000}"/>
    <cellStyle name="Comma 2 2" xfId="668" xr:uid="{00000000-0005-0000-0000-0000AA020000}"/>
    <cellStyle name="Comma 2 2 2" xfId="2620" xr:uid="{00000000-0005-0000-0000-0000AB020000}"/>
    <cellStyle name="Comma 2 2 2 2" xfId="3968" xr:uid="{96B980AA-5BBD-4140-9430-1BAA67620555}"/>
    <cellStyle name="Comma 2 2 3" xfId="2615" xr:uid="{00000000-0005-0000-0000-0000AC020000}"/>
    <cellStyle name="Comma 2 2 3 2" xfId="3966" xr:uid="{12FDADB1-486B-49D3-AE2A-5DD347725DDF}"/>
    <cellStyle name="Comma 2 2 4" xfId="3984" xr:uid="{25F8DA2D-643F-4426-9E28-A51FC1719CD4}"/>
    <cellStyle name="Comma 2 2 5" xfId="2698" xr:uid="{0557D94B-279A-4892-83C4-BD2BA47449CF}"/>
    <cellStyle name="Comma 2 3" xfId="2612" xr:uid="{00000000-0005-0000-0000-0000AD020000}"/>
    <cellStyle name="Comma 2 3 2" xfId="3965" xr:uid="{6C81C1EB-5550-474D-9EBF-59EC8CA74493}"/>
    <cellStyle name="Comma 2 4" xfId="14" xr:uid="{00000000-0005-0000-0000-0000AE020000}"/>
    <cellStyle name="Comma 2 4 2" xfId="3990" xr:uid="{D69FB14C-E054-4C3F-92CB-91F0FD45083B}"/>
    <cellStyle name="Comma 20" xfId="669" xr:uid="{00000000-0005-0000-0000-0000AF020000}"/>
    <cellStyle name="Comma 20 2" xfId="670" xr:uid="{00000000-0005-0000-0000-0000B0020000}"/>
    <cellStyle name="Comma 20 2 2" xfId="2700" xr:uid="{140D014B-702D-4012-9C19-5F93CC9116DF}"/>
    <cellStyle name="Comma 20 3" xfId="671" xr:uid="{00000000-0005-0000-0000-0000B1020000}"/>
    <cellStyle name="Comma 20 3 2" xfId="2701" xr:uid="{8AF463AC-8B61-4FB6-8DB2-F6E0B0B244FF}"/>
    <cellStyle name="Comma 20 4" xfId="672" xr:uid="{00000000-0005-0000-0000-0000B2020000}"/>
    <cellStyle name="Comma 20 4 2" xfId="2702" xr:uid="{02D9FBDC-52BB-4E85-A7B6-910E0716AAC4}"/>
    <cellStyle name="Comma 20 5" xfId="2699" xr:uid="{6BEEFF20-9C22-45B8-BBDF-8D9A1643DCBC}"/>
    <cellStyle name="Comma 21" xfId="673" xr:uid="{00000000-0005-0000-0000-0000B3020000}"/>
    <cellStyle name="Comma 21 2" xfId="674" xr:uid="{00000000-0005-0000-0000-0000B4020000}"/>
    <cellStyle name="Comma 21 2 2" xfId="2704" xr:uid="{63E92B19-64A2-4CCD-9D88-C270AA666BE5}"/>
    <cellStyle name="Comma 21 3" xfId="675" xr:uid="{00000000-0005-0000-0000-0000B5020000}"/>
    <cellStyle name="Comma 21 3 2" xfId="2705" xr:uid="{028D5214-594F-4BD0-9777-F1DF26A7E502}"/>
    <cellStyle name="Comma 21 4" xfId="676" xr:uid="{00000000-0005-0000-0000-0000B6020000}"/>
    <cellStyle name="Comma 21 4 2" xfId="2706" xr:uid="{296974BE-871A-4CA3-A9DE-342D1DE87128}"/>
    <cellStyle name="Comma 21 5" xfId="2703" xr:uid="{ABFFF383-70A7-47CD-A060-EACCB60388DE}"/>
    <cellStyle name="Comma 22" xfId="677" xr:uid="{00000000-0005-0000-0000-0000B7020000}"/>
    <cellStyle name="Comma 22 2" xfId="678" xr:uid="{00000000-0005-0000-0000-0000B8020000}"/>
    <cellStyle name="Comma 22 2 2" xfId="2708" xr:uid="{F40AC1B3-2CB0-4E06-8F51-20BBE9B0D76A}"/>
    <cellStyle name="Comma 22 3" xfId="679" xr:uid="{00000000-0005-0000-0000-0000B9020000}"/>
    <cellStyle name="Comma 22 3 2" xfId="2709" xr:uid="{3611D245-36B2-4C9F-A0EF-6D0D1AD699C4}"/>
    <cellStyle name="Comma 22 4" xfId="680" xr:uid="{00000000-0005-0000-0000-0000BA020000}"/>
    <cellStyle name="Comma 22 4 2" xfId="2710" xr:uid="{A5946DF0-5B93-4D03-8883-85F5175448C0}"/>
    <cellStyle name="Comma 22 5" xfId="2707" xr:uid="{DDB33095-ED11-43BD-9FE7-CD89711B7749}"/>
    <cellStyle name="Comma 23" xfId="681" xr:uid="{00000000-0005-0000-0000-0000BB020000}"/>
    <cellStyle name="Comma 23 2" xfId="682" xr:uid="{00000000-0005-0000-0000-0000BC020000}"/>
    <cellStyle name="Comma 23 2 2" xfId="2712" xr:uid="{F1AB9F0D-BB97-4CA1-AE1F-28A4349E2778}"/>
    <cellStyle name="Comma 23 3" xfId="683" xr:uid="{00000000-0005-0000-0000-0000BD020000}"/>
    <cellStyle name="Comma 23 3 2" xfId="2713" xr:uid="{B6530D04-343C-48D9-8335-54A44F83E857}"/>
    <cellStyle name="Comma 23 4" xfId="684" xr:uid="{00000000-0005-0000-0000-0000BE020000}"/>
    <cellStyle name="Comma 23 4 2" xfId="2714" xr:uid="{E1422901-1F4C-4162-9AD4-31D7A12D88BC}"/>
    <cellStyle name="Comma 23 5" xfId="2711" xr:uid="{B887A3AD-F7C8-4AAD-A37D-8CBEEB86DB9A}"/>
    <cellStyle name="Comma 24" xfId="685" xr:uid="{00000000-0005-0000-0000-0000BF020000}"/>
    <cellStyle name="Comma 24 2" xfId="686" xr:uid="{00000000-0005-0000-0000-0000C0020000}"/>
    <cellStyle name="Comma 24 2 2" xfId="2716" xr:uid="{AF9F01AA-1679-44FC-8CD6-5F4075781CD7}"/>
    <cellStyle name="Comma 24 3" xfId="687" xr:uid="{00000000-0005-0000-0000-0000C1020000}"/>
    <cellStyle name="Comma 24 3 2" xfId="2717" xr:uid="{5C1BD0DE-033D-4710-A378-88350507E441}"/>
    <cellStyle name="Comma 24 4" xfId="688" xr:uid="{00000000-0005-0000-0000-0000C2020000}"/>
    <cellStyle name="Comma 24 4 2" xfId="2718" xr:uid="{B199D5C4-2939-4FA8-BA65-A480AE64542B}"/>
    <cellStyle name="Comma 24 5" xfId="2715" xr:uid="{01575E03-EC7C-4D4C-A24F-F925D62B7A78}"/>
    <cellStyle name="Comma 25" xfId="689" xr:uid="{00000000-0005-0000-0000-0000C3020000}"/>
    <cellStyle name="Comma 25 2" xfId="690" xr:uid="{00000000-0005-0000-0000-0000C4020000}"/>
    <cellStyle name="Comma 25 2 2" xfId="2720" xr:uid="{7BE36069-831E-4C11-B191-F9CAB884B5A5}"/>
    <cellStyle name="Comma 25 3" xfId="691" xr:uid="{00000000-0005-0000-0000-0000C5020000}"/>
    <cellStyle name="Comma 25 3 2" xfId="2721" xr:uid="{52AD9F29-4A44-4282-98B3-6C768AE0FE06}"/>
    <cellStyle name="Comma 25 4" xfId="692" xr:uid="{00000000-0005-0000-0000-0000C6020000}"/>
    <cellStyle name="Comma 25 4 2" xfId="2722" xr:uid="{939BAF8B-A42A-4FE5-AD14-9BAC10868C83}"/>
    <cellStyle name="Comma 25 5" xfId="2719" xr:uid="{3AE0741B-02B4-496E-88C8-BDD515716EDE}"/>
    <cellStyle name="Comma 26" xfId="693" xr:uid="{00000000-0005-0000-0000-0000C7020000}"/>
    <cellStyle name="Comma 26 2" xfId="694" xr:uid="{00000000-0005-0000-0000-0000C8020000}"/>
    <cellStyle name="Comma 26 2 2" xfId="2724" xr:uid="{6DAC1D37-8EE9-4445-BC4A-B7259F13FEB4}"/>
    <cellStyle name="Comma 26 3" xfId="695" xr:uid="{00000000-0005-0000-0000-0000C9020000}"/>
    <cellStyle name="Comma 26 3 2" xfId="2725" xr:uid="{C49FCDCC-E74D-46F2-8E10-61C4CEC70F86}"/>
    <cellStyle name="Comma 26 4" xfId="696" xr:uid="{00000000-0005-0000-0000-0000CA020000}"/>
    <cellStyle name="Comma 26 4 2" xfId="2726" xr:uid="{D37A5614-FB76-40AC-828B-3ACF4FE5E4AC}"/>
    <cellStyle name="Comma 26 5" xfId="2723" xr:uid="{4F337BCF-77B7-418E-BAC1-8CBCD8D060B4}"/>
    <cellStyle name="Comma 27" xfId="697" xr:uid="{00000000-0005-0000-0000-0000CB020000}"/>
    <cellStyle name="Comma 27 2" xfId="698" xr:uid="{00000000-0005-0000-0000-0000CC020000}"/>
    <cellStyle name="Comma 27 2 2" xfId="2728" xr:uid="{84567BBB-F8B8-4BBE-BA10-00E491FB46F9}"/>
    <cellStyle name="Comma 27 3" xfId="699" xr:uid="{00000000-0005-0000-0000-0000CD020000}"/>
    <cellStyle name="Comma 27 3 2" xfId="2729" xr:uid="{8BFDCDEB-4670-4DA4-B2C7-EE47DD5F4020}"/>
    <cellStyle name="Comma 27 4" xfId="700" xr:uid="{00000000-0005-0000-0000-0000CE020000}"/>
    <cellStyle name="Comma 27 4 2" xfId="2730" xr:uid="{D478A228-728A-413D-BB05-00F909D36B6F}"/>
    <cellStyle name="Comma 27 5" xfId="2727" xr:uid="{161A2C3C-0BE2-46B7-98E3-891E6978A2BF}"/>
    <cellStyle name="Comma 28" xfId="701" xr:uid="{00000000-0005-0000-0000-0000CF020000}"/>
    <cellStyle name="Comma 28 2" xfId="702" xr:uid="{00000000-0005-0000-0000-0000D0020000}"/>
    <cellStyle name="Comma 28 2 2" xfId="2732" xr:uid="{8FED3A44-CC33-4182-BABB-ABE703C84988}"/>
    <cellStyle name="Comma 28 3" xfId="703" xr:uid="{00000000-0005-0000-0000-0000D1020000}"/>
    <cellStyle name="Comma 28 3 2" xfId="2733" xr:uid="{9967CE8A-5AD4-47F4-BBE4-0FAD68CA8EF0}"/>
    <cellStyle name="Comma 28 4" xfId="704" xr:uid="{00000000-0005-0000-0000-0000D2020000}"/>
    <cellStyle name="Comma 28 4 2" xfId="2734" xr:uid="{8B6E2C96-38C4-43ED-AF92-4187E8F5EBA5}"/>
    <cellStyle name="Comma 28 5" xfId="2731" xr:uid="{391EA768-3C31-4AEB-A1BC-5E75F0C5C654}"/>
    <cellStyle name="Comma 29" xfId="705" xr:uid="{00000000-0005-0000-0000-0000D3020000}"/>
    <cellStyle name="Comma 29 2" xfId="2735" xr:uid="{4F406308-0D1D-4437-A31B-D5B7770212B9}"/>
    <cellStyle name="Comma 3" xfId="706" xr:uid="{00000000-0005-0000-0000-0000D4020000}"/>
    <cellStyle name="Comma 3 10" xfId="707" xr:uid="{00000000-0005-0000-0000-0000D5020000}"/>
    <cellStyle name="Comma 3 10 2" xfId="708" xr:uid="{00000000-0005-0000-0000-0000D6020000}"/>
    <cellStyle name="Comma 3 10 2 2" xfId="2738" xr:uid="{F1B1397B-D047-4B6D-976F-C4F4D447CE75}"/>
    <cellStyle name="Comma 3 10 3" xfId="709" xr:uid="{00000000-0005-0000-0000-0000D7020000}"/>
    <cellStyle name="Comma 3 10 3 2" xfId="2739" xr:uid="{DD8F288B-0903-4243-AF16-3B2D7410291C}"/>
    <cellStyle name="Comma 3 10 4" xfId="710" xr:uid="{00000000-0005-0000-0000-0000D8020000}"/>
    <cellStyle name="Comma 3 10 4 2" xfId="2740" xr:uid="{F4A46BD6-2031-4F23-8843-FECC23EF1A79}"/>
    <cellStyle name="Comma 3 10 5" xfId="2737" xr:uid="{439830FC-76D7-49CD-BE08-DDFC19F6E8CD}"/>
    <cellStyle name="Comma 3 11" xfId="711" xr:uid="{00000000-0005-0000-0000-0000D9020000}"/>
    <cellStyle name="Comma 3 11 2" xfId="712" xr:uid="{00000000-0005-0000-0000-0000DA020000}"/>
    <cellStyle name="Comma 3 11 2 2" xfId="2742" xr:uid="{EC477401-7270-477B-877E-C2A9E4EC53E0}"/>
    <cellStyle name="Comma 3 11 3" xfId="713" xr:uid="{00000000-0005-0000-0000-0000DB020000}"/>
    <cellStyle name="Comma 3 11 3 2" xfId="2743" xr:uid="{D6988688-034D-45E6-AAEC-B89428927F58}"/>
    <cellStyle name="Comma 3 11 4" xfId="714" xr:uid="{00000000-0005-0000-0000-0000DC020000}"/>
    <cellStyle name="Comma 3 11 4 2" xfId="2744" xr:uid="{38830C6D-E648-4279-BA21-A0ABB7DF3A98}"/>
    <cellStyle name="Comma 3 11 5" xfId="2741" xr:uid="{F400D6FC-DB61-4CE5-95DF-D53F5E4F2A6B}"/>
    <cellStyle name="Comma 3 12" xfId="715" xr:uid="{00000000-0005-0000-0000-0000DD020000}"/>
    <cellStyle name="Comma 3 12 2" xfId="716" xr:uid="{00000000-0005-0000-0000-0000DE020000}"/>
    <cellStyle name="Comma 3 12 2 2" xfId="2746" xr:uid="{993FF02E-76A1-4E1C-AF92-DC06B73B5D2C}"/>
    <cellStyle name="Comma 3 12 3" xfId="717" xr:uid="{00000000-0005-0000-0000-0000DF020000}"/>
    <cellStyle name="Comma 3 12 3 2" xfId="2747" xr:uid="{67B5FAD7-5B9C-439D-81C8-D379B713D121}"/>
    <cellStyle name="Comma 3 12 4" xfId="718" xr:uid="{00000000-0005-0000-0000-0000E0020000}"/>
    <cellStyle name="Comma 3 12 4 2" xfId="2748" xr:uid="{AD0B59F3-BBD9-409D-AF70-C9F61DF96005}"/>
    <cellStyle name="Comma 3 12 5" xfId="2745" xr:uid="{C718B7CA-9F5F-4247-A12B-63E0A5A1912A}"/>
    <cellStyle name="Comma 3 13" xfId="719" xr:uid="{00000000-0005-0000-0000-0000E1020000}"/>
    <cellStyle name="Comma 3 13 2" xfId="720" xr:uid="{00000000-0005-0000-0000-0000E2020000}"/>
    <cellStyle name="Comma 3 13 2 2" xfId="2750" xr:uid="{37BF5C72-32B3-452D-9479-DF88815575CA}"/>
    <cellStyle name="Comma 3 13 3" xfId="721" xr:uid="{00000000-0005-0000-0000-0000E3020000}"/>
    <cellStyle name="Comma 3 13 3 2" xfId="2751" xr:uid="{56531777-C528-4F70-AC5B-93516454C197}"/>
    <cellStyle name="Comma 3 13 4" xfId="722" xr:uid="{00000000-0005-0000-0000-0000E4020000}"/>
    <cellStyle name="Comma 3 13 4 2" xfId="2752" xr:uid="{94CDD29F-3B45-460F-AC44-90E8EE00F7C5}"/>
    <cellStyle name="Comma 3 13 5" xfId="2749" xr:uid="{54897B9F-C63A-4223-9E1A-D8C5B0071794}"/>
    <cellStyle name="Comma 3 14" xfId="723" xr:uid="{00000000-0005-0000-0000-0000E5020000}"/>
    <cellStyle name="Comma 3 14 2" xfId="724" xr:uid="{00000000-0005-0000-0000-0000E6020000}"/>
    <cellStyle name="Comma 3 14 2 2" xfId="2754" xr:uid="{0266426C-C165-46D2-97E7-3C4BED7105AD}"/>
    <cellStyle name="Comma 3 14 3" xfId="725" xr:uid="{00000000-0005-0000-0000-0000E7020000}"/>
    <cellStyle name="Comma 3 14 3 2" xfId="2755" xr:uid="{AF279E2B-B141-4674-9FF4-D36A6DC81FD5}"/>
    <cellStyle name="Comma 3 14 4" xfId="726" xr:uid="{00000000-0005-0000-0000-0000E8020000}"/>
    <cellStyle name="Comma 3 14 4 2" xfId="2756" xr:uid="{942B05D2-A53C-474E-840B-75AABE7DF23E}"/>
    <cellStyle name="Comma 3 14 5" xfId="2753" xr:uid="{8A967087-1B4B-4117-B92A-8B90BF0C57E0}"/>
    <cellStyle name="Comma 3 15" xfId="727" xr:uid="{00000000-0005-0000-0000-0000E9020000}"/>
    <cellStyle name="Comma 3 15 2" xfId="728" xr:uid="{00000000-0005-0000-0000-0000EA020000}"/>
    <cellStyle name="Comma 3 15 2 2" xfId="2758" xr:uid="{0395E718-4F30-4454-B703-F10790FB44A9}"/>
    <cellStyle name="Comma 3 15 3" xfId="729" xr:uid="{00000000-0005-0000-0000-0000EB020000}"/>
    <cellStyle name="Comma 3 15 3 2" xfId="2759" xr:uid="{D6549D82-40EE-4C24-BB44-7822636FF475}"/>
    <cellStyle name="Comma 3 15 4" xfId="730" xr:uid="{00000000-0005-0000-0000-0000EC020000}"/>
    <cellStyle name="Comma 3 15 4 2" xfId="2760" xr:uid="{DA7901E6-08EE-4E7B-A469-38EB87E6CFB0}"/>
    <cellStyle name="Comma 3 15 5" xfId="2757" xr:uid="{536BBEC6-FC6D-464A-B094-C8705B4DC0AD}"/>
    <cellStyle name="Comma 3 16" xfId="731" xr:uid="{00000000-0005-0000-0000-0000ED020000}"/>
    <cellStyle name="Comma 3 16 2" xfId="732" xr:uid="{00000000-0005-0000-0000-0000EE020000}"/>
    <cellStyle name="Comma 3 16 2 2" xfId="2762" xr:uid="{0563CF3F-E09A-4457-B206-F601596DC43D}"/>
    <cellStyle name="Comma 3 16 3" xfId="733" xr:uid="{00000000-0005-0000-0000-0000EF020000}"/>
    <cellStyle name="Comma 3 16 3 2" xfId="2763" xr:uid="{B0B157A2-B2E2-4288-89A4-CCEFEB479906}"/>
    <cellStyle name="Comma 3 16 4" xfId="734" xr:uid="{00000000-0005-0000-0000-0000F0020000}"/>
    <cellStyle name="Comma 3 16 4 2" xfId="2764" xr:uid="{53A5272E-A826-4BD3-9235-EC079DF044BA}"/>
    <cellStyle name="Comma 3 16 5" xfId="2761" xr:uid="{F2E8AD7B-1354-4FDD-8533-FA14AF68C1AA}"/>
    <cellStyle name="Comma 3 17" xfId="735" xr:uid="{00000000-0005-0000-0000-0000F1020000}"/>
    <cellStyle name="Comma 3 17 2" xfId="736" xr:uid="{00000000-0005-0000-0000-0000F2020000}"/>
    <cellStyle name="Comma 3 17 2 2" xfId="2766" xr:uid="{2F9C598A-992E-43F1-B44D-DEE4C944C5BF}"/>
    <cellStyle name="Comma 3 17 3" xfId="737" xr:uid="{00000000-0005-0000-0000-0000F3020000}"/>
    <cellStyle name="Comma 3 17 3 2" xfId="2767" xr:uid="{B3C8BDEC-3EF8-430E-9B3F-1D4A2652545B}"/>
    <cellStyle name="Comma 3 17 4" xfId="738" xr:uid="{00000000-0005-0000-0000-0000F4020000}"/>
    <cellStyle name="Comma 3 17 4 2" xfId="2768" xr:uid="{F71AA4A9-F0A5-479C-B474-43F324AEE60E}"/>
    <cellStyle name="Comma 3 17 5" xfId="2765" xr:uid="{374E76F5-B193-47FE-9C03-F399A62385D1}"/>
    <cellStyle name="Comma 3 18" xfId="739" xr:uid="{00000000-0005-0000-0000-0000F5020000}"/>
    <cellStyle name="Comma 3 18 2" xfId="740" xr:uid="{00000000-0005-0000-0000-0000F6020000}"/>
    <cellStyle name="Comma 3 18 2 2" xfId="2770" xr:uid="{46AC371F-47DF-4740-A240-95156233433F}"/>
    <cellStyle name="Comma 3 18 3" xfId="741" xr:uid="{00000000-0005-0000-0000-0000F7020000}"/>
    <cellStyle name="Comma 3 18 3 2" xfId="2771" xr:uid="{E156AC7D-8D69-42CB-8547-B18D0CE9F3B3}"/>
    <cellStyle name="Comma 3 18 4" xfId="742" xr:uid="{00000000-0005-0000-0000-0000F8020000}"/>
    <cellStyle name="Comma 3 18 4 2" xfId="2772" xr:uid="{7C98BDCF-2D18-4370-AD95-1E51A1613A94}"/>
    <cellStyle name="Comma 3 18 5" xfId="2769" xr:uid="{01CB459A-9231-4E19-8C92-DE3A43D86B8C}"/>
    <cellStyle name="Comma 3 19" xfId="743" xr:uid="{00000000-0005-0000-0000-0000F9020000}"/>
    <cellStyle name="Comma 3 19 2" xfId="744" xr:uid="{00000000-0005-0000-0000-0000FA020000}"/>
    <cellStyle name="Comma 3 19 2 2" xfId="2774" xr:uid="{EAFA9270-AE49-48F0-8B94-335E38A8BB87}"/>
    <cellStyle name="Comma 3 19 3" xfId="745" xr:uid="{00000000-0005-0000-0000-0000FB020000}"/>
    <cellStyle name="Comma 3 19 3 2" xfId="2775" xr:uid="{E77C3388-E61F-4AC9-834E-AF898A9A1BDB}"/>
    <cellStyle name="Comma 3 19 4" xfId="746" xr:uid="{00000000-0005-0000-0000-0000FC020000}"/>
    <cellStyle name="Comma 3 19 4 2" xfId="2776" xr:uid="{4C1F5A85-26A7-4B4A-8E87-59FF49DF7608}"/>
    <cellStyle name="Comma 3 19 5" xfId="2773" xr:uid="{D8E9C1A9-1A25-4F36-95B6-F4ABCAF54AC9}"/>
    <cellStyle name="Comma 3 2" xfId="747" xr:uid="{00000000-0005-0000-0000-0000FD020000}"/>
    <cellStyle name="Comma 3 2 2" xfId="748" xr:uid="{00000000-0005-0000-0000-0000FE020000}"/>
    <cellStyle name="Comma 3 2 2 2" xfId="2778" xr:uid="{0B302601-121E-4B9B-9EF9-CCE626C7A093}"/>
    <cellStyle name="Comma 3 2 3" xfId="749" xr:uid="{00000000-0005-0000-0000-0000FF020000}"/>
    <cellStyle name="Comma 3 2 3 2" xfId="750" xr:uid="{00000000-0005-0000-0000-000000030000}"/>
    <cellStyle name="Comma 3 2 3 2 2" xfId="2780" xr:uid="{386AF073-188B-401B-97DF-69A4B0F7A157}"/>
    <cellStyle name="Comma 3 2 3 3" xfId="751" xr:uid="{00000000-0005-0000-0000-000001030000}"/>
    <cellStyle name="Comma 3 2 3 3 2" xfId="2781" xr:uid="{A5AFAC73-B8B6-4E24-A8DF-AEA0137735C5}"/>
    <cellStyle name="Comma 3 2 3 4" xfId="2779" xr:uid="{9420F336-BB2F-41CA-9C4A-EE3BEA3BE125}"/>
    <cellStyle name="Comma 3 2 4" xfId="2777" xr:uid="{7833566C-2BCF-486C-BD79-7E288688218B}"/>
    <cellStyle name="Comma 3 20" xfId="752" xr:uid="{00000000-0005-0000-0000-000002030000}"/>
    <cellStyle name="Comma 3 20 2" xfId="753" xr:uid="{00000000-0005-0000-0000-000003030000}"/>
    <cellStyle name="Comma 3 20 2 2" xfId="2783" xr:uid="{1750AE22-FC77-49A7-AA1A-0A29BEA9251B}"/>
    <cellStyle name="Comma 3 20 3" xfId="754" xr:uid="{00000000-0005-0000-0000-000004030000}"/>
    <cellStyle name="Comma 3 20 3 2" xfId="2784" xr:uid="{FB3AE961-182C-449C-ABB3-9D812C5C44E7}"/>
    <cellStyle name="Comma 3 20 4" xfId="755" xr:uid="{00000000-0005-0000-0000-000005030000}"/>
    <cellStyle name="Comma 3 20 4 2" xfId="2785" xr:uid="{742428B9-6028-4593-98EF-ED9AF54F9BB3}"/>
    <cellStyle name="Comma 3 20 5" xfId="2782" xr:uid="{0AC7ABEB-6228-4FCD-93FA-70DB70EE4C0B}"/>
    <cellStyle name="Comma 3 21" xfId="756" xr:uid="{00000000-0005-0000-0000-000006030000}"/>
    <cellStyle name="Comma 3 21 2" xfId="757" xr:uid="{00000000-0005-0000-0000-000007030000}"/>
    <cellStyle name="Comma 3 21 2 2" xfId="2787" xr:uid="{4DAA4F1F-C571-4D3C-A2FB-7AAE19591552}"/>
    <cellStyle name="Comma 3 21 3" xfId="758" xr:uid="{00000000-0005-0000-0000-000008030000}"/>
    <cellStyle name="Comma 3 21 3 2" xfId="2788" xr:uid="{5DC1FE46-868B-4B8E-A300-B60FA2C210CB}"/>
    <cellStyle name="Comma 3 21 4" xfId="759" xr:uid="{00000000-0005-0000-0000-000009030000}"/>
    <cellStyle name="Comma 3 21 4 2" xfId="2789" xr:uid="{E7256241-7304-45E3-82EF-84E8C4FCE07E}"/>
    <cellStyle name="Comma 3 21 5" xfId="2786" xr:uid="{0B418E4F-9358-40D2-899F-4445AD1184E8}"/>
    <cellStyle name="Comma 3 22" xfId="760" xr:uid="{00000000-0005-0000-0000-00000A030000}"/>
    <cellStyle name="Comma 3 22 2" xfId="2790" xr:uid="{F226B411-AF60-4337-ADEC-BB40B3C5FA55}"/>
    <cellStyle name="Comma 3 23" xfId="761" xr:uid="{00000000-0005-0000-0000-00000B030000}"/>
    <cellStyle name="Comma 3 23 2" xfId="2791" xr:uid="{7E13CB6C-B65F-469B-AB54-B3E8E8813F11}"/>
    <cellStyle name="Comma 3 24" xfId="762" xr:uid="{00000000-0005-0000-0000-00000C030000}"/>
    <cellStyle name="Comma 3 24 2" xfId="2792" xr:uid="{76337CE1-79EE-4B2B-BCED-B0715BFE3439}"/>
    <cellStyle name="Comma 3 25" xfId="2628" xr:uid="{00000000-0005-0000-0000-00000D030000}"/>
    <cellStyle name="Comma 3 25 2" xfId="3971" xr:uid="{10FB2D1C-C6BB-4300-85B7-528FA08F10C4}"/>
    <cellStyle name="Comma 3 26" xfId="2736" xr:uid="{76B6FA23-E983-4814-AA43-2084CD0C62A8}"/>
    <cellStyle name="Comma 3 3" xfId="763" xr:uid="{00000000-0005-0000-0000-00000E030000}"/>
    <cellStyle name="Comma 3 3 2" xfId="764" xr:uid="{00000000-0005-0000-0000-00000F030000}"/>
    <cellStyle name="Comma 3 3 2 2" xfId="2794" xr:uid="{B822111C-37DA-43E8-A157-1963561BEBE2}"/>
    <cellStyle name="Comma 3 3 3" xfId="765" xr:uid="{00000000-0005-0000-0000-000010030000}"/>
    <cellStyle name="Comma 3 3 3 2" xfId="2795" xr:uid="{88E0D251-45E2-4AA1-AD71-8BFE077CE54B}"/>
    <cellStyle name="Comma 3 3 4" xfId="766" xr:uid="{00000000-0005-0000-0000-000011030000}"/>
    <cellStyle name="Comma 3 3 4 2" xfId="2796" xr:uid="{7EE41E2F-68B1-4378-AECE-F8CD60A1EE83}"/>
    <cellStyle name="Comma 3 3 5" xfId="2793" xr:uid="{931DD440-9DCF-4D21-BAFA-7C9CECC60166}"/>
    <cellStyle name="Comma 3 4" xfId="767" xr:uid="{00000000-0005-0000-0000-000012030000}"/>
    <cellStyle name="Comma 3 4 2" xfId="768" xr:uid="{00000000-0005-0000-0000-000013030000}"/>
    <cellStyle name="Comma 3 4 2 2" xfId="2798" xr:uid="{B7150245-407F-49EB-BC96-185F345B17C1}"/>
    <cellStyle name="Comma 3 4 3" xfId="769" xr:uid="{00000000-0005-0000-0000-000014030000}"/>
    <cellStyle name="Comma 3 4 3 2" xfId="2799" xr:uid="{50C29CEC-6710-465A-A898-DFE87FAAFC81}"/>
    <cellStyle name="Comma 3 4 4" xfId="770" xr:uid="{00000000-0005-0000-0000-000015030000}"/>
    <cellStyle name="Comma 3 4 4 2" xfId="2800" xr:uid="{BBAD9AC4-67C4-4EC9-9CBE-D17BEAFB5856}"/>
    <cellStyle name="Comma 3 4 5" xfId="2797" xr:uid="{F9320B1A-615D-4F5A-A531-3E9973FDBB14}"/>
    <cellStyle name="Comma 3 5" xfId="771" xr:uid="{00000000-0005-0000-0000-000016030000}"/>
    <cellStyle name="Comma 3 5 2" xfId="772" xr:uid="{00000000-0005-0000-0000-000017030000}"/>
    <cellStyle name="Comma 3 5 2 2" xfId="2802" xr:uid="{B5F32332-5352-42E2-99DD-235DFE664FAA}"/>
    <cellStyle name="Comma 3 5 3" xfId="773" xr:uid="{00000000-0005-0000-0000-000018030000}"/>
    <cellStyle name="Comma 3 5 3 2" xfId="2803" xr:uid="{0CFB8CF3-4A23-474A-962D-5DE0DADF4C38}"/>
    <cellStyle name="Comma 3 5 4" xfId="774" xr:uid="{00000000-0005-0000-0000-000019030000}"/>
    <cellStyle name="Comma 3 5 4 2" xfId="2804" xr:uid="{5E49695E-72C1-4A47-A5BA-1B3FF6227CB0}"/>
    <cellStyle name="Comma 3 5 5" xfId="2801" xr:uid="{93939C69-68F3-44AA-800E-1B920CAB248E}"/>
    <cellStyle name="Comma 3 6" xfId="775" xr:uid="{00000000-0005-0000-0000-00001A030000}"/>
    <cellStyle name="Comma 3 6 2" xfId="776" xr:uid="{00000000-0005-0000-0000-00001B030000}"/>
    <cellStyle name="Comma 3 6 2 2" xfId="2806" xr:uid="{7F168BBD-2F9A-4D2F-8F10-4E165270638E}"/>
    <cellStyle name="Comma 3 6 3" xfId="777" xr:uid="{00000000-0005-0000-0000-00001C030000}"/>
    <cellStyle name="Comma 3 6 3 2" xfId="2807" xr:uid="{37D51485-CCF8-444F-84D9-B323060F6E61}"/>
    <cellStyle name="Comma 3 6 4" xfId="778" xr:uid="{00000000-0005-0000-0000-00001D030000}"/>
    <cellStyle name="Comma 3 6 4 2" xfId="2808" xr:uid="{5D36CFB8-797F-46DD-BBEC-D67FB4AEEAD8}"/>
    <cellStyle name="Comma 3 6 5" xfId="2805" xr:uid="{D9EAF94F-29FC-4FC7-B2A8-49BFD0FF66FE}"/>
    <cellStyle name="Comma 3 7" xfId="779" xr:uid="{00000000-0005-0000-0000-00001E030000}"/>
    <cellStyle name="Comma 3 7 2" xfId="780" xr:uid="{00000000-0005-0000-0000-00001F030000}"/>
    <cellStyle name="Comma 3 7 2 2" xfId="2810" xr:uid="{86BBEC0C-1C6B-4FB4-A18D-1FDD4903715E}"/>
    <cellStyle name="Comma 3 7 3" xfId="781" xr:uid="{00000000-0005-0000-0000-000020030000}"/>
    <cellStyle name="Comma 3 7 3 2" xfId="2811" xr:uid="{7304FD90-4439-4B80-9048-B6130E0895B5}"/>
    <cellStyle name="Comma 3 7 4" xfId="782" xr:uid="{00000000-0005-0000-0000-000021030000}"/>
    <cellStyle name="Comma 3 7 4 2" xfId="2812" xr:uid="{1BE8F49B-52C5-41E6-B043-87129E84BEC4}"/>
    <cellStyle name="Comma 3 7 5" xfId="2809" xr:uid="{22425DE6-DBB4-4450-BC0A-5D99418DC404}"/>
    <cellStyle name="Comma 3 8" xfId="783" xr:uid="{00000000-0005-0000-0000-000022030000}"/>
    <cellStyle name="Comma 3 8 2" xfId="784" xr:uid="{00000000-0005-0000-0000-000023030000}"/>
    <cellStyle name="Comma 3 8 2 2" xfId="2814" xr:uid="{BA3DB5A4-4934-4DE9-966E-407A51B49152}"/>
    <cellStyle name="Comma 3 8 3" xfId="785" xr:uid="{00000000-0005-0000-0000-000024030000}"/>
    <cellStyle name="Comma 3 8 3 2" xfId="2815" xr:uid="{278ED4A5-C4FC-4338-BE26-13A8A43D7EB6}"/>
    <cellStyle name="Comma 3 8 4" xfId="786" xr:uid="{00000000-0005-0000-0000-000025030000}"/>
    <cellStyle name="Comma 3 8 4 2" xfId="2816" xr:uid="{097AED23-A708-4324-85C3-AA3F8999CC49}"/>
    <cellStyle name="Comma 3 8 5" xfId="2813" xr:uid="{B01FAE3E-013B-435D-B6C9-5C34D9C98C2F}"/>
    <cellStyle name="Comma 3 9" xfId="787" xr:uid="{00000000-0005-0000-0000-000026030000}"/>
    <cellStyle name="Comma 3 9 2" xfId="788" xr:uid="{00000000-0005-0000-0000-000027030000}"/>
    <cellStyle name="Comma 3 9 2 2" xfId="2818" xr:uid="{46FE3FC5-E4EF-4FEF-BAE7-3D0F9F98A406}"/>
    <cellStyle name="Comma 3 9 3" xfId="789" xr:uid="{00000000-0005-0000-0000-000028030000}"/>
    <cellStyle name="Comma 3 9 3 2" xfId="2819" xr:uid="{BE5D8171-9AC5-428C-8C13-7804938EE3DC}"/>
    <cellStyle name="Comma 3 9 4" xfId="790" xr:uid="{00000000-0005-0000-0000-000029030000}"/>
    <cellStyle name="Comma 3 9 4 2" xfId="2820" xr:uid="{7EDDA07B-8A01-4DAF-BA9C-91BC45B1D587}"/>
    <cellStyle name="Comma 3 9 5" xfId="2817" xr:uid="{607404F9-6391-4267-B406-7D40C5D4EE3A}"/>
    <cellStyle name="Comma 30" xfId="791" xr:uid="{00000000-0005-0000-0000-00002A030000}"/>
    <cellStyle name="Comma 30 2" xfId="2821" xr:uid="{85265799-BC24-42D0-8521-7048697F4C05}"/>
    <cellStyle name="Comma 31" xfId="792" xr:uid="{00000000-0005-0000-0000-00002B030000}"/>
    <cellStyle name="Comma 31 2" xfId="2639" xr:uid="{00000000-0005-0000-0000-00002C030000}"/>
    <cellStyle name="Comma 31 2 2" xfId="3974" xr:uid="{F5F9E84E-BCC5-4E5E-8D62-7F38186093E3}"/>
    <cellStyle name="Comma 31 3" xfId="2822" xr:uid="{D98475DC-6E5C-4AE1-80B2-1977618A3191}"/>
    <cellStyle name="Comma 32" xfId="793" xr:uid="{00000000-0005-0000-0000-00002D030000}"/>
    <cellStyle name="Comma 32 2" xfId="2823" xr:uid="{5621E1CF-3580-42D1-96C2-92C464BD9BBF}"/>
    <cellStyle name="Comma 33" xfId="2622" xr:uid="{00000000-0005-0000-0000-00002E030000}"/>
    <cellStyle name="Comma 33 2" xfId="3969" xr:uid="{6258F41F-66B0-4051-9437-1CE91F9C1277}"/>
    <cellStyle name="Comma 34" xfId="2647" xr:uid="{00000000-0005-0000-0000-00002F030000}"/>
    <cellStyle name="Comma 34 2" xfId="2654" xr:uid="{00000000-0005-0000-0000-000030030000}"/>
    <cellStyle name="Comma 34 2 2" xfId="3980" xr:uid="{DF585C2C-A5A5-4509-B8DE-885ACD11CB6C}"/>
    <cellStyle name="Comma 34 3" xfId="3977" xr:uid="{CD0E67D1-ED52-43B5-BB23-D323C5444B14}"/>
    <cellStyle name="Comma 35" xfId="2650" xr:uid="{00000000-0005-0000-0000-000031030000}"/>
    <cellStyle name="Comma 35 2" xfId="3978" xr:uid="{63F735B4-6821-4891-9A6D-22A7309F0668}"/>
    <cellStyle name="Comma 36" xfId="11" xr:uid="{00000000-0005-0000-0000-000032030000}"/>
    <cellStyle name="Comma 4" xfId="794" xr:uid="{00000000-0005-0000-0000-000033030000}"/>
    <cellStyle name="Comma 4 10" xfId="795" xr:uid="{00000000-0005-0000-0000-000034030000}"/>
    <cellStyle name="Comma 4 10 2" xfId="796" xr:uid="{00000000-0005-0000-0000-000035030000}"/>
    <cellStyle name="Comma 4 10 2 2" xfId="2826" xr:uid="{FFB31DB6-C982-400F-BE3C-DF4D6058E183}"/>
    <cellStyle name="Comma 4 10 3" xfId="797" xr:uid="{00000000-0005-0000-0000-000036030000}"/>
    <cellStyle name="Comma 4 10 3 2" xfId="2827" xr:uid="{B28EA317-1C91-433E-81C4-FCA30A14542D}"/>
    <cellStyle name="Comma 4 10 4" xfId="798" xr:uid="{00000000-0005-0000-0000-000037030000}"/>
    <cellStyle name="Comma 4 10 4 2" xfId="2828" xr:uid="{FED67245-B02B-4511-88E6-2F0CF44BDF72}"/>
    <cellStyle name="Comma 4 10 5" xfId="2825" xr:uid="{032C4089-F462-4823-B0B1-582679BCDE09}"/>
    <cellStyle name="Comma 4 11" xfId="799" xr:uid="{00000000-0005-0000-0000-000038030000}"/>
    <cellStyle name="Comma 4 11 2" xfId="800" xr:uid="{00000000-0005-0000-0000-000039030000}"/>
    <cellStyle name="Comma 4 11 2 2" xfId="2830" xr:uid="{7447B09E-C628-43DF-BC11-A8EE4659609E}"/>
    <cellStyle name="Comma 4 11 3" xfId="801" xr:uid="{00000000-0005-0000-0000-00003A030000}"/>
    <cellStyle name="Comma 4 11 3 2" xfId="2831" xr:uid="{4B9CEFA8-1798-403B-944B-7C4C5FFB4BD7}"/>
    <cellStyle name="Comma 4 11 4" xfId="802" xr:uid="{00000000-0005-0000-0000-00003B030000}"/>
    <cellStyle name="Comma 4 11 4 2" xfId="2832" xr:uid="{301A7A6F-E6B0-4007-B5FE-5F9AEEEEA65C}"/>
    <cellStyle name="Comma 4 11 5" xfId="2829" xr:uid="{83855F8F-928A-4085-9E4C-66B49CE2030A}"/>
    <cellStyle name="Comma 4 12" xfId="803" xr:uid="{00000000-0005-0000-0000-00003C030000}"/>
    <cellStyle name="Comma 4 12 2" xfId="804" xr:uid="{00000000-0005-0000-0000-00003D030000}"/>
    <cellStyle name="Comma 4 12 2 2" xfId="2834" xr:uid="{23BFF3FB-00D8-49AE-9241-F410BDC994CD}"/>
    <cellStyle name="Comma 4 12 3" xfId="805" xr:uid="{00000000-0005-0000-0000-00003E030000}"/>
    <cellStyle name="Comma 4 12 3 2" xfId="2835" xr:uid="{87CE1331-2C06-457E-AAB4-8E5134FF5D0F}"/>
    <cellStyle name="Comma 4 12 4" xfId="806" xr:uid="{00000000-0005-0000-0000-00003F030000}"/>
    <cellStyle name="Comma 4 12 4 2" xfId="2836" xr:uid="{DCE505E5-E20B-4BA0-B408-CEB9C637C200}"/>
    <cellStyle name="Comma 4 12 5" xfId="2833" xr:uid="{EE9B415C-A7BA-4E6F-A703-39F8A875F42A}"/>
    <cellStyle name="Comma 4 13" xfId="807" xr:uid="{00000000-0005-0000-0000-000040030000}"/>
    <cellStyle name="Comma 4 13 2" xfId="808" xr:uid="{00000000-0005-0000-0000-000041030000}"/>
    <cellStyle name="Comma 4 13 2 2" xfId="2838" xr:uid="{D8362C8C-2277-4365-8D92-9ED0810EA6F5}"/>
    <cellStyle name="Comma 4 13 3" xfId="809" xr:uid="{00000000-0005-0000-0000-000042030000}"/>
    <cellStyle name="Comma 4 13 3 2" xfId="2839" xr:uid="{79D389DC-84B4-4C30-B2DC-7A3247E4ECB7}"/>
    <cellStyle name="Comma 4 13 4" xfId="810" xr:uid="{00000000-0005-0000-0000-000043030000}"/>
    <cellStyle name="Comma 4 13 4 2" xfId="2840" xr:uid="{39326B12-CE6B-4E7F-A961-7B36A2608D86}"/>
    <cellStyle name="Comma 4 13 5" xfId="2837" xr:uid="{3B34AC7D-33D4-4BFC-AFDF-080903FD612B}"/>
    <cellStyle name="Comma 4 14" xfId="811" xr:uid="{00000000-0005-0000-0000-000044030000}"/>
    <cellStyle name="Comma 4 14 2" xfId="812" xr:uid="{00000000-0005-0000-0000-000045030000}"/>
    <cellStyle name="Comma 4 14 2 2" xfId="2842" xr:uid="{7E387E9D-4A60-4A2B-9C5C-8FE814F278DE}"/>
    <cellStyle name="Comma 4 14 3" xfId="813" xr:uid="{00000000-0005-0000-0000-000046030000}"/>
    <cellStyle name="Comma 4 14 3 2" xfId="2843" xr:uid="{2AD40EDC-C0FB-4A85-AFD9-FA95ED6E3731}"/>
    <cellStyle name="Comma 4 14 4" xfId="814" xr:uid="{00000000-0005-0000-0000-000047030000}"/>
    <cellStyle name="Comma 4 14 4 2" xfId="2844" xr:uid="{CD19255A-C954-4CE3-96DF-65F07DF51DE9}"/>
    <cellStyle name="Comma 4 14 5" xfId="2841" xr:uid="{28A7B299-FEED-4AD9-B7CB-96BF4477EC00}"/>
    <cellStyle name="Comma 4 15" xfId="815" xr:uid="{00000000-0005-0000-0000-000048030000}"/>
    <cellStyle name="Comma 4 15 2" xfId="816" xr:uid="{00000000-0005-0000-0000-000049030000}"/>
    <cellStyle name="Comma 4 15 2 2" xfId="2846" xr:uid="{092C6D15-3E68-45FE-81B0-DE56861D23E8}"/>
    <cellStyle name="Comma 4 15 3" xfId="817" xr:uid="{00000000-0005-0000-0000-00004A030000}"/>
    <cellStyle name="Comma 4 15 3 2" xfId="2847" xr:uid="{EBE19746-7006-425E-B7C2-6C69EBF419F1}"/>
    <cellStyle name="Comma 4 15 4" xfId="818" xr:uid="{00000000-0005-0000-0000-00004B030000}"/>
    <cellStyle name="Comma 4 15 4 2" xfId="2848" xr:uid="{8B62C7C6-B936-4255-9FEB-8A642AC172D6}"/>
    <cellStyle name="Comma 4 15 5" xfId="2845" xr:uid="{C3DC1421-6DB4-4A44-A3B1-D4FEC0306565}"/>
    <cellStyle name="Comma 4 16" xfId="819" xr:uid="{00000000-0005-0000-0000-00004C030000}"/>
    <cellStyle name="Comma 4 16 2" xfId="820" xr:uid="{00000000-0005-0000-0000-00004D030000}"/>
    <cellStyle name="Comma 4 16 2 2" xfId="2850" xr:uid="{110141A3-6EBB-4346-9888-D6F3B2A4B32A}"/>
    <cellStyle name="Comma 4 16 3" xfId="821" xr:uid="{00000000-0005-0000-0000-00004E030000}"/>
    <cellStyle name="Comma 4 16 3 2" xfId="2851" xr:uid="{7E716A4D-824E-481B-B105-10C0F9C3C5EC}"/>
    <cellStyle name="Comma 4 16 4" xfId="822" xr:uid="{00000000-0005-0000-0000-00004F030000}"/>
    <cellStyle name="Comma 4 16 4 2" xfId="2852" xr:uid="{45BEAB72-1A92-4A2C-8ED4-EDBEC7998FC7}"/>
    <cellStyle name="Comma 4 16 5" xfId="2849" xr:uid="{022D11B7-087D-413E-AD85-D90B3EFC84A2}"/>
    <cellStyle name="Comma 4 17" xfId="823" xr:uid="{00000000-0005-0000-0000-000050030000}"/>
    <cellStyle name="Comma 4 17 2" xfId="824" xr:uid="{00000000-0005-0000-0000-000051030000}"/>
    <cellStyle name="Comma 4 17 2 2" xfId="2854" xr:uid="{05C590DA-AE37-4245-AADF-80E544AA042E}"/>
    <cellStyle name="Comma 4 17 3" xfId="825" xr:uid="{00000000-0005-0000-0000-000052030000}"/>
    <cellStyle name="Comma 4 17 3 2" xfId="2855" xr:uid="{6F50BB52-C841-430A-887F-872CE670CF69}"/>
    <cellStyle name="Comma 4 17 4" xfId="826" xr:uid="{00000000-0005-0000-0000-000053030000}"/>
    <cellStyle name="Comma 4 17 4 2" xfId="2856" xr:uid="{D41B6B9A-3E56-4F92-9066-C27A6E9E8035}"/>
    <cellStyle name="Comma 4 17 5" xfId="2853" xr:uid="{E711B898-9EF6-41E1-B0F6-0D1150B43985}"/>
    <cellStyle name="Comma 4 18" xfId="827" xr:uid="{00000000-0005-0000-0000-000054030000}"/>
    <cellStyle name="Comma 4 18 2" xfId="828" xr:uid="{00000000-0005-0000-0000-000055030000}"/>
    <cellStyle name="Comma 4 18 2 2" xfId="2858" xr:uid="{06CBE638-B302-45B1-AC1A-472BBE0D8D5D}"/>
    <cellStyle name="Comma 4 18 3" xfId="829" xr:uid="{00000000-0005-0000-0000-000056030000}"/>
    <cellStyle name="Comma 4 18 3 2" xfId="2859" xr:uid="{67D694F2-9C6F-48FB-843C-72AD93E3ACFA}"/>
    <cellStyle name="Comma 4 18 4" xfId="830" xr:uid="{00000000-0005-0000-0000-000057030000}"/>
    <cellStyle name="Comma 4 18 4 2" xfId="2860" xr:uid="{3FE12C00-3569-4AD8-8944-891A0191445B}"/>
    <cellStyle name="Comma 4 18 5" xfId="2857" xr:uid="{0764626F-9FDE-42FF-9D4B-26C3607A3357}"/>
    <cellStyle name="Comma 4 19" xfId="831" xr:uid="{00000000-0005-0000-0000-000058030000}"/>
    <cellStyle name="Comma 4 19 2" xfId="832" xr:uid="{00000000-0005-0000-0000-000059030000}"/>
    <cellStyle name="Comma 4 19 2 2" xfId="2862" xr:uid="{AC2B992E-0B31-4861-8875-84E7AA092FA9}"/>
    <cellStyle name="Comma 4 19 3" xfId="833" xr:uid="{00000000-0005-0000-0000-00005A030000}"/>
    <cellStyle name="Comma 4 19 3 2" xfId="2863" xr:uid="{085FF3AF-88CA-4CF6-87DF-9D883BB11360}"/>
    <cellStyle name="Comma 4 19 4" xfId="834" xr:uid="{00000000-0005-0000-0000-00005B030000}"/>
    <cellStyle name="Comma 4 19 4 2" xfId="2864" xr:uid="{36D662F0-90A3-49A0-B3A5-605DB77FFF02}"/>
    <cellStyle name="Comma 4 19 5" xfId="2861" xr:uid="{E231B08D-5F27-4EC9-9670-DC36EE131BF8}"/>
    <cellStyle name="Comma 4 2" xfId="835" xr:uid="{00000000-0005-0000-0000-00005C030000}"/>
    <cellStyle name="Comma 4 2 2" xfId="836" xr:uid="{00000000-0005-0000-0000-00005D030000}"/>
    <cellStyle name="Comma 4 2 2 2" xfId="2866" xr:uid="{83382E08-C238-45E2-B28C-01CA7088362C}"/>
    <cellStyle name="Comma 4 2 3" xfId="837" xr:uid="{00000000-0005-0000-0000-00005E030000}"/>
    <cellStyle name="Comma 4 2 3 2" xfId="838" xr:uid="{00000000-0005-0000-0000-00005F030000}"/>
    <cellStyle name="Comma 4 2 3 2 2" xfId="2868" xr:uid="{B9D1295A-5BB9-4453-B7C7-787C49EB233B}"/>
    <cellStyle name="Comma 4 2 3 3" xfId="839" xr:uid="{00000000-0005-0000-0000-000060030000}"/>
    <cellStyle name="Comma 4 2 3 3 2" xfId="2869" xr:uid="{CD544A16-C62F-428D-91DC-792725B3C817}"/>
    <cellStyle name="Comma 4 2 3 4" xfId="2867" xr:uid="{3867A552-E10E-48EC-B3FA-1CE399F270AF}"/>
    <cellStyle name="Comma 4 2 4" xfId="2865" xr:uid="{97161D19-271E-4CB6-9FE3-8B4CFF2C8EB8}"/>
    <cellStyle name="Comma 4 20" xfId="840" xr:uid="{00000000-0005-0000-0000-000061030000}"/>
    <cellStyle name="Comma 4 20 2" xfId="841" xr:uid="{00000000-0005-0000-0000-000062030000}"/>
    <cellStyle name="Comma 4 20 2 2" xfId="2871" xr:uid="{8D24E2D3-B69F-4A10-9498-928AB55CD043}"/>
    <cellStyle name="Comma 4 20 3" xfId="842" xr:uid="{00000000-0005-0000-0000-000063030000}"/>
    <cellStyle name="Comma 4 20 3 2" xfId="2872" xr:uid="{C9C73634-A87E-46DE-837F-64FC33CF3F6B}"/>
    <cellStyle name="Comma 4 20 4" xfId="843" xr:uid="{00000000-0005-0000-0000-000064030000}"/>
    <cellStyle name="Comma 4 20 4 2" xfId="2873" xr:uid="{DEDEF41A-D503-4174-BCFF-A6EE1ECF1B92}"/>
    <cellStyle name="Comma 4 20 5" xfId="2870" xr:uid="{346C87AC-B1CF-4B82-A277-99F5EBD0B9C7}"/>
    <cellStyle name="Comma 4 21" xfId="844" xr:uid="{00000000-0005-0000-0000-000065030000}"/>
    <cellStyle name="Comma 4 21 2" xfId="845" xr:uid="{00000000-0005-0000-0000-000066030000}"/>
    <cellStyle name="Comma 4 21 2 2" xfId="2875" xr:uid="{204DF6EF-34D3-4C28-B583-E7938E53B684}"/>
    <cellStyle name="Comma 4 21 3" xfId="846" xr:uid="{00000000-0005-0000-0000-000067030000}"/>
    <cellStyle name="Comma 4 21 3 2" xfId="2876" xr:uid="{EA017977-A48F-48D6-92EE-6A866D68CD8B}"/>
    <cellStyle name="Comma 4 21 4" xfId="847" xr:uid="{00000000-0005-0000-0000-000068030000}"/>
    <cellStyle name="Comma 4 21 4 2" xfId="2877" xr:uid="{334D495B-2A52-4A6E-A723-5DCE5DA1843D}"/>
    <cellStyle name="Comma 4 21 5" xfId="2874" xr:uid="{4A1B0E64-E669-403F-ABE2-338BD1A5DDDF}"/>
    <cellStyle name="Comma 4 22" xfId="848" xr:uid="{00000000-0005-0000-0000-000069030000}"/>
    <cellStyle name="Comma 4 22 2" xfId="2878" xr:uid="{7E4F6C0B-82FA-4DC9-836D-2276D06A4F39}"/>
    <cellStyle name="Comma 4 23" xfId="849" xr:uid="{00000000-0005-0000-0000-00006A030000}"/>
    <cellStyle name="Comma 4 23 2" xfId="2879" xr:uid="{0B529B87-1B0B-4D9A-8ADE-08D0CCD4B791}"/>
    <cellStyle name="Comma 4 24" xfId="850" xr:uid="{00000000-0005-0000-0000-00006B030000}"/>
    <cellStyle name="Comma 4 24 2" xfId="2880" xr:uid="{502FE4A0-7C2B-462E-986F-99E0470625DB}"/>
    <cellStyle name="Comma 4 25" xfId="2824" xr:uid="{D0725829-533C-4E57-9EC6-B9F44A36B3C6}"/>
    <cellStyle name="Comma 4 3" xfId="851" xr:uid="{00000000-0005-0000-0000-00006C030000}"/>
    <cellStyle name="Comma 4 3 2" xfId="852" xr:uid="{00000000-0005-0000-0000-00006D030000}"/>
    <cellStyle name="Comma 4 3 2 2" xfId="2882" xr:uid="{DE160266-6E9B-48B2-8846-037327214F03}"/>
    <cellStyle name="Comma 4 3 3" xfId="853" xr:uid="{00000000-0005-0000-0000-00006E030000}"/>
    <cellStyle name="Comma 4 3 3 2" xfId="2883" xr:uid="{A056FCB2-40CC-4C69-9850-49EA6CFEBAD8}"/>
    <cellStyle name="Comma 4 3 4" xfId="854" xr:uid="{00000000-0005-0000-0000-00006F030000}"/>
    <cellStyle name="Comma 4 3 4 2" xfId="2884" xr:uid="{457DE83F-6419-42CF-A78A-BE2DBE8A14CE}"/>
    <cellStyle name="Comma 4 3 5" xfId="2881" xr:uid="{56C36B4B-0B08-4069-9622-A7BA7D857E56}"/>
    <cellStyle name="Comma 4 4" xfId="855" xr:uid="{00000000-0005-0000-0000-000070030000}"/>
    <cellStyle name="Comma 4 4 2" xfId="856" xr:uid="{00000000-0005-0000-0000-000071030000}"/>
    <cellStyle name="Comma 4 4 2 2" xfId="2886" xr:uid="{941B2507-A6A7-4736-81C9-EB3D72B9F00E}"/>
    <cellStyle name="Comma 4 4 3" xfId="857" xr:uid="{00000000-0005-0000-0000-000072030000}"/>
    <cellStyle name="Comma 4 4 3 2" xfId="2887" xr:uid="{02FC4077-E79D-42F6-AD2A-4AFB9D34C107}"/>
    <cellStyle name="Comma 4 4 4" xfId="858" xr:uid="{00000000-0005-0000-0000-000073030000}"/>
    <cellStyle name="Comma 4 4 4 2" xfId="2888" xr:uid="{31BA8D7C-50F6-4DF5-8977-710B31DF102F}"/>
    <cellStyle name="Comma 4 4 5" xfId="2885" xr:uid="{14E83834-C78D-4A9B-89B3-2B7E75F52EFB}"/>
    <cellStyle name="Comma 4 5" xfId="859" xr:uid="{00000000-0005-0000-0000-000074030000}"/>
    <cellStyle name="Comma 4 5 2" xfId="860" xr:uid="{00000000-0005-0000-0000-000075030000}"/>
    <cellStyle name="Comma 4 5 2 2" xfId="2890" xr:uid="{F7625460-B614-4962-AF69-6474FC57F77C}"/>
    <cellStyle name="Comma 4 5 3" xfId="861" xr:uid="{00000000-0005-0000-0000-000076030000}"/>
    <cellStyle name="Comma 4 5 3 2" xfId="2891" xr:uid="{CD9666B2-BBA7-4D88-BC3E-BC1D00663196}"/>
    <cellStyle name="Comma 4 5 4" xfId="862" xr:uid="{00000000-0005-0000-0000-000077030000}"/>
    <cellStyle name="Comma 4 5 4 2" xfId="2892" xr:uid="{4DDDB335-4FCD-41EA-B4C7-0C65AF375336}"/>
    <cellStyle name="Comma 4 5 5" xfId="2889" xr:uid="{6A2F5C05-D0BC-4178-BEDF-0395BC87791B}"/>
    <cellStyle name="Comma 4 6" xfId="863" xr:uid="{00000000-0005-0000-0000-000078030000}"/>
    <cellStyle name="Comma 4 6 2" xfId="864" xr:uid="{00000000-0005-0000-0000-000079030000}"/>
    <cellStyle name="Comma 4 6 2 2" xfId="2894" xr:uid="{56D80D0C-26A0-44F2-BA1E-1B084A14BE5F}"/>
    <cellStyle name="Comma 4 6 3" xfId="865" xr:uid="{00000000-0005-0000-0000-00007A030000}"/>
    <cellStyle name="Comma 4 6 3 2" xfId="2895" xr:uid="{923FBE01-E859-4521-B620-0283638C83B6}"/>
    <cellStyle name="Comma 4 6 4" xfId="866" xr:uid="{00000000-0005-0000-0000-00007B030000}"/>
    <cellStyle name="Comma 4 6 4 2" xfId="2896" xr:uid="{0BB091D1-FA51-468A-B294-4953E2B80208}"/>
    <cellStyle name="Comma 4 6 5" xfId="2893" xr:uid="{FF1EF886-DDCD-4C1B-B5F2-5EFBB238B957}"/>
    <cellStyle name="Comma 4 7" xfId="867" xr:uid="{00000000-0005-0000-0000-00007C030000}"/>
    <cellStyle name="Comma 4 7 2" xfId="868" xr:uid="{00000000-0005-0000-0000-00007D030000}"/>
    <cellStyle name="Comma 4 7 2 2" xfId="2898" xr:uid="{6B46335B-E224-4C38-A2AF-318727AF8819}"/>
    <cellStyle name="Comma 4 7 3" xfId="869" xr:uid="{00000000-0005-0000-0000-00007E030000}"/>
    <cellStyle name="Comma 4 7 3 2" xfId="2899" xr:uid="{2152E3B7-112E-43EF-A921-8784903227AD}"/>
    <cellStyle name="Comma 4 7 4" xfId="870" xr:uid="{00000000-0005-0000-0000-00007F030000}"/>
    <cellStyle name="Comma 4 7 4 2" xfId="2900" xr:uid="{D0A24E4B-173A-4F29-ADC6-D67FFAED3663}"/>
    <cellStyle name="Comma 4 7 5" xfId="2897" xr:uid="{EC115EA7-70DD-45CF-8743-C2026AFD8B22}"/>
    <cellStyle name="Comma 4 8" xfId="871" xr:uid="{00000000-0005-0000-0000-000080030000}"/>
    <cellStyle name="Comma 4 8 2" xfId="872" xr:uid="{00000000-0005-0000-0000-000081030000}"/>
    <cellStyle name="Comma 4 8 2 2" xfId="2902" xr:uid="{8D1F8AB1-9E0E-4185-954B-840F060DF7A4}"/>
    <cellStyle name="Comma 4 8 3" xfId="873" xr:uid="{00000000-0005-0000-0000-000082030000}"/>
    <cellStyle name="Comma 4 8 3 2" xfId="2903" xr:uid="{26CC4189-4D78-4475-BCBB-099805062EE7}"/>
    <cellStyle name="Comma 4 8 4" xfId="874" xr:uid="{00000000-0005-0000-0000-000083030000}"/>
    <cellStyle name="Comma 4 8 4 2" xfId="2904" xr:uid="{F09F066A-31E7-4C92-83F6-928B4F809E1C}"/>
    <cellStyle name="Comma 4 8 5" xfId="2901" xr:uid="{45416A68-22FD-47FD-A438-0C5161529704}"/>
    <cellStyle name="Comma 4 9" xfId="875" xr:uid="{00000000-0005-0000-0000-000084030000}"/>
    <cellStyle name="Comma 4 9 2" xfId="876" xr:uid="{00000000-0005-0000-0000-000085030000}"/>
    <cellStyle name="Comma 4 9 2 2" xfId="2906" xr:uid="{0043D6D8-3BC9-4675-BBE1-E39A242FCB2D}"/>
    <cellStyle name="Comma 4 9 3" xfId="877" xr:uid="{00000000-0005-0000-0000-000086030000}"/>
    <cellStyle name="Comma 4 9 3 2" xfId="2907" xr:uid="{A9A9C38F-C42E-4F88-BB48-5B54AC49F581}"/>
    <cellStyle name="Comma 4 9 4" xfId="878" xr:uid="{00000000-0005-0000-0000-000087030000}"/>
    <cellStyle name="Comma 4 9 4 2" xfId="2908" xr:uid="{2735479F-D8A7-464B-81D8-A848DBE1D28A}"/>
    <cellStyle name="Comma 4 9 5" xfId="2905" xr:uid="{185E3861-7656-409E-B063-52EA963D009C}"/>
    <cellStyle name="Comma 5" xfId="879" xr:uid="{00000000-0005-0000-0000-000088030000}"/>
    <cellStyle name="Comma 5 10" xfId="880" xr:uid="{00000000-0005-0000-0000-000089030000}"/>
    <cellStyle name="Comma 5 10 2" xfId="881" xr:uid="{00000000-0005-0000-0000-00008A030000}"/>
    <cellStyle name="Comma 5 10 2 2" xfId="2910" xr:uid="{1D1D44D0-5085-41C6-B3F1-D37F6D10CD0F}"/>
    <cellStyle name="Comma 5 10 3" xfId="882" xr:uid="{00000000-0005-0000-0000-00008B030000}"/>
    <cellStyle name="Comma 5 10 3 2" xfId="2911" xr:uid="{55DD0E28-809A-43DF-8DD5-1D234F4C411B}"/>
    <cellStyle name="Comma 5 10 4" xfId="883" xr:uid="{00000000-0005-0000-0000-00008C030000}"/>
    <cellStyle name="Comma 5 10 4 2" xfId="2912" xr:uid="{2E031875-CC22-4B66-AFA7-9B81189B5291}"/>
    <cellStyle name="Comma 5 10 5" xfId="2909" xr:uid="{A8D74808-3118-4DCD-B90E-AB28862AC742}"/>
    <cellStyle name="Comma 5 11" xfId="884" xr:uid="{00000000-0005-0000-0000-00008D030000}"/>
    <cellStyle name="Comma 5 11 2" xfId="885" xr:uid="{00000000-0005-0000-0000-00008E030000}"/>
    <cellStyle name="Comma 5 11 2 2" xfId="2914" xr:uid="{3D7D3C59-BD4A-4E5F-AB13-7FB17B390EE8}"/>
    <cellStyle name="Comma 5 11 3" xfId="886" xr:uid="{00000000-0005-0000-0000-00008F030000}"/>
    <cellStyle name="Comma 5 11 3 2" xfId="2915" xr:uid="{0D8BFA9C-9BD8-4CF8-B2BF-1D0EC11F3C92}"/>
    <cellStyle name="Comma 5 11 4" xfId="887" xr:uid="{00000000-0005-0000-0000-000090030000}"/>
    <cellStyle name="Comma 5 11 4 2" xfId="2916" xr:uid="{52C482A0-FA63-4C79-A963-FA40C6D9A7D4}"/>
    <cellStyle name="Comma 5 11 5" xfId="2913" xr:uid="{B0782532-9205-49B6-A8A6-6C00E354222D}"/>
    <cellStyle name="Comma 5 12" xfId="888" xr:uid="{00000000-0005-0000-0000-000091030000}"/>
    <cellStyle name="Comma 5 12 2" xfId="889" xr:uid="{00000000-0005-0000-0000-000092030000}"/>
    <cellStyle name="Comma 5 12 2 2" xfId="2918" xr:uid="{84537F12-6E30-4039-849D-830A09B7939E}"/>
    <cellStyle name="Comma 5 12 3" xfId="890" xr:uid="{00000000-0005-0000-0000-000093030000}"/>
    <cellStyle name="Comma 5 12 3 2" xfId="2919" xr:uid="{9A377079-7056-4DD4-ACE9-B4306BBF7660}"/>
    <cellStyle name="Comma 5 12 4" xfId="891" xr:uid="{00000000-0005-0000-0000-000094030000}"/>
    <cellStyle name="Comma 5 12 4 2" xfId="2920" xr:uid="{F681246B-8E02-4C70-8430-B94609621C9E}"/>
    <cellStyle name="Comma 5 12 5" xfId="2917" xr:uid="{81AC9221-381D-44A0-9145-255A269F2638}"/>
    <cellStyle name="Comma 5 13" xfId="892" xr:uid="{00000000-0005-0000-0000-000095030000}"/>
    <cellStyle name="Comma 5 13 2" xfId="893" xr:uid="{00000000-0005-0000-0000-000096030000}"/>
    <cellStyle name="Comma 5 13 2 2" xfId="2922" xr:uid="{CCBB7455-2624-4239-A6F9-533DB949164F}"/>
    <cellStyle name="Comma 5 13 3" xfId="894" xr:uid="{00000000-0005-0000-0000-000097030000}"/>
    <cellStyle name="Comma 5 13 3 2" xfId="2923" xr:uid="{EAC4BAC7-9BA0-4E71-94A5-AC0CD7878A53}"/>
    <cellStyle name="Comma 5 13 4" xfId="895" xr:uid="{00000000-0005-0000-0000-000098030000}"/>
    <cellStyle name="Comma 5 13 4 2" xfId="2924" xr:uid="{BACD9657-5B94-42DD-8A26-4BD1DC20F502}"/>
    <cellStyle name="Comma 5 13 5" xfId="2921" xr:uid="{D47E6851-C0A5-4DE5-9F02-AF13C4940529}"/>
    <cellStyle name="Comma 5 14" xfId="896" xr:uid="{00000000-0005-0000-0000-000099030000}"/>
    <cellStyle name="Comma 5 14 2" xfId="897" xr:uid="{00000000-0005-0000-0000-00009A030000}"/>
    <cellStyle name="Comma 5 14 2 2" xfId="2926" xr:uid="{9E01B0D0-C972-4B54-B76A-2AA2FD32C088}"/>
    <cellStyle name="Comma 5 14 3" xfId="898" xr:uid="{00000000-0005-0000-0000-00009B030000}"/>
    <cellStyle name="Comma 5 14 3 2" xfId="2927" xr:uid="{39F560C1-0131-458A-AB80-B3D21B3FD0D6}"/>
    <cellStyle name="Comma 5 14 4" xfId="899" xr:uid="{00000000-0005-0000-0000-00009C030000}"/>
    <cellStyle name="Comma 5 14 4 2" xfId="2928" xr:uid="{0EC9E3D1-B855-4B64-B972-5D2E2FDC71FE}"/>
    <cellStyle name="Comma 5 14 5" xfId="2925" xr:uid="{D4ECBAC2-77A4-4EA0-9ED8-382910B63C2F}"/>
    <cellStyle name="Comma 5 15" xfId="900" xr:uid="{00000000-0005-0000-0000-00009D030000}"/>
    <cellStyle name="Comma 5 15 2" xfId="901" xr:uid="{00000000-0005-0000-0000-00009E030000}"/>
    <cellStyle name="Comma 5 15 2 2" xfId="2930" xr:uid="{2E89E096-3CEB-41AD-A88A-79FF83AD0A74}"/>
    <cellStyle name="Comma 5 15 3" xfId="902" xr:uid="{00000000-0005-0000-0000-00009F030000}"/>
    <cellStyle name="Comma 5 15 3 2" xfId="2931" xr:uid="{117BBC6D-3A36-4D5D-A8FB-F8D82851CEA8}"/>
    <cellStyle name="Comma 5 15 4" xfId="903" xr:uid="{00000000-0005-0000-0000-0000A0030000}"/>
    <cellStyle name="Comma 5 15 4 2" xfId="2932" xr:uid="{86703A8F-E4F1-4A09-9004-5905343B3C29}"/>
    <cellStyle name="Comma 5 15 5" xfId="2929" xr:uid="{F08E8366-75EB-4052-90A0-9BC89CF16642}"/>
    <cellStyle name="Comma 5 16" xfId="904" xr:uid="{00000000-0005-0000-0000-0000A1030000}"/>
    <cellStyle name="Comma 5 16 2" xfId="905" xr:uid="{00000000-0005-0000-0000-0000A2030000}"/>
    <cellStyle name="Comma 5 16 2 2" xfId="2934" xr:uid="{F1658245-7F5E-4210-B47E-C3ACFC95F96F}"/>
    <cellStyle name="Comma 5 16 3" xfId="906" xr:uid="{00000000-0005-0000-0000-0000A3030000}"/>
    <cellStyle name="Comma 5 16 3 2" xfId="2935" xr:uid="{A1E20812-4358-4A89-BB08-D24D6A5139D6}"/>
    <cellStyle name="Comma 5 16 4" xfId="907" xr:uid="{00000000-0005-0000-0000-0000A4030000}"/>
    <cellStyle name="Comma 5 16 4 2" xfId="2936" xr:uid="{6929DDB9-1D19-40F0-A02B-DA073BE3149E}"/>
    <cellStyle name="Comma 5 16 5" xfId="2933" xr:uid="{9DC74DC3-8A8D-4F82-BE53-A3BC552B3076}"/>
    <cellStyle name="Comma 5 17" xfId="908" xr:uid="{00000000-0005-0000-0000-0000A5030000}"/>
    <cellStyle name="Comma 5 17 2" xfId="909" xr:uid="{00000000-0005-0000-0000-0000A6030000}"/>
    <cellStyle name="Comma 5 17 2 2" xfId="2938" xr:uid="{BF4A01DE-A512-4810-8CAC-0EA6A318AD2E}"/>
    <cellStyle name="Comma 5 17 3" xfId="910" xr:uid="{00000000-0005-0000-0000-0000A7030000}"/>
    <cellStyle name="Comma 5 17 3 2" xfId="2939" xr:uid="{2C745E12-273A-4633-B279-47B1055869DC}"/>
    <cellStyle name="Comma 5 17 4" xfId="911" xr:uid="{00000000-0005-0000-0000-0000A8030000}"/>
    <cellStyle name="Comma 5 17 4 2" xfId="2940" xr:uid="{FF65D484-421D-4C6C-83BF-6E6B2CF8A4D2}"/>
    <cellStyle name="Comma 5 17 5" xfId="2937" xr:uid="{82BF0FC5-208E-4C33-8DAD-97338487DF49}"/>
    <cellStyle name="Comma 5 18" xfId="912" xr:uid="{00000000-0005-0000-0000-0000A9030000}"/>
    <cellStyle name="Comma 5 18 2" xfId="913" xr:uid="{00000000-0005-0000-0000-0000AA030000}"/>
    <cellStyle name="Comma 5 18 2 2" xfId="2942" xr:uid="{9DD867E8-838A-40FD-B3E2-F8923B39E6A0}"/>
    <cellStyle name="Comma 5 18 3" xfId="914" xr:uid="{00000000-0005-0000-0000-0000AB030000}"/>
    <cellStyle name="Comma 5 18 3 2" xfId="2943" xr:uid="{12A098B6-FEC9-4B0D-9FD4-F8EE268A312B}"/>
    <cellStyle name="Comma 5 18 4" xfId="915" xr:uid="{00000000-0005-0000-0000-0000AC030000}"/>
    <cellStyle name="Comma 5 18 4 2" xfId="2944" xr:uid="{005C01C3-02C8-4373-BDAB-1173082EF5F8}"/>
    <cellStyle name="Comma 5 18 5" xfId="2941" xr:uid="{AE2AAA05-5CF9-4907-A99F-DB52325FF8C7}"/>
    <cellStyle name="Comma 5 19" xfId="916" xr:uid="{00000000-0005-0000-0000-0000AD030000}"/>
    <cellStyle name="Comma 5 19 2" xfId="917" xr:uid="{00000000-0005-0000-0000-0000AE030000}"/>
    <cellStyle name="Comma 5 19 2 2" xfId="2946" xr:uid="{CFEE1802-CF7F-47BE-A3FB-3C0CDF981081}"/>
    <cellStyle name="Comma 5 19 3" xfId="918" xr:uid="{00000000-0005-0000-0000-0000AF030000}"/>
    <cellStyle name="Comma 5 19 3 2" xfId="2947" xr:uid="{FCBF7E2E-FFB0-4671-B6F4-778B05E4BA2F}"/>
    <cellStyle name="Comma 5 19 4" xfId="919" xr:uid="{00000000-0005-0000-0000-0000B0030000}"/>
    <cellStyle name="Comma 5 19 4 2" xfId="2948" xr:uid="{401DBBEF-F2C0-4D3E-B542-9FC9E5E57E87}"/>
    <cellStyle name="Comma 5 19 5" xfId="2945" xr:uid="{88078BA7-E7B0-4D25-BD9A-1B26FB057AC7}"/>
    <cellStyle name="Comma 5 2" xfId="920" xr:uid="{00000000-0005-0000-0000-0000B1030000}"/>
    <cellStyle name="Comma 5 2 10" xfId="921" xr:uid="{00000000-0005-0000-0000-0000B2030000}"/>
    <cellStyle name="Comma 5 2 10 2" xfId="922" xr:uid="{00000000-0005-0000-0000-0000B3030000}"/>
    <cellStyle name="Comma 5 2 10 2 2" xfId="2950" xr:uid="{5FB7DB84-67FF-4989-807A-30CE8A7D70CF}"/>
    <cellStyle name="Comma 5 2 10 3" xfId="923" xr:uid="{00000000-0005-0000-0000-0000B4030000}"/>
    <cellStyle name="Comma 5 2 10 3 2" xfId="2951" xr:uid="{FC76203A-710E-44E9-93A0-1DF56556A0F9}"/>
    <cellStyle name="Comma 5 2 10 4" xfId="924" xr:uid="{00000000-0005-0000-0000-0000B5030000}"/>
    <cellStyle name="Comma 5 2 10 4 2" xfId="2952" xr:uid="{5C753F90-4690-4A27-8B88-7B3B8721AC16}"/>
    <cellStyle name="Comma 5 2 10 5" xfId="2949" xr:uid="{C760A58A-2254-44E6-99AC-7B959395944B}"/>
    <cellStyle name="Comma 5 2 11" xfId="925" xr:uid="{00000000-0005-0000-0000-0000B6030000}"/>
    <cellStyle name="Comma 5 2 11 2" xfId="926" xr:uid="{00000000-0005-0000-0000-0000B7030000}"/>
    <cellStyle name="Comma 5 2 11 2 2" xfId="2954" xr:uid="{4EE5E9DA-EDD8-43E7-B555-FF347331F895}"/>
    <cellStyle name="Comma 5 2 11 3" xfId="927" xr:uid="{00000000-0005-0000-0000-0000B8030000}"/>
    <cellStyle name="Comma 5 2 11 3 2" xfId="2955" xr:uid="{1D1A2860-1DF0-494F-9EAB-3EF856E08DCF}"/>
    <cellStyle name="Comma 5 2 11 4" xfId="928" xr:uid="{00000000-0005-0000-0000-0000B9030000}"/>
    <cellStyle name="Comma 5 2 11 4 2" xfId="2956" xr:uid="{F8DF7A10-14BD-47CA-98E3-76CBD2AB8E14}"/>
    <cellStyle name="Comma 5 2 11 5" xfId="2953" xr:uid="{124FD714-4692-422F-8CCA-4440C35947A1}"/>
    <cellStyle name="Comma 5 2 12" xfId="929" xr:uid="{00000000-0005-0000-0000-0000BA030000}"/>
    <cellStyle name="Comma 5 2 12 2" xfId="930" xr:uid="{00000000-0005-0000-0000-0000BB030000}"/>
    <cellStyle name="Comma 5 2 12 2 2" xfId="2958" xr:uid="{C527BB5D-8410-47BE-89DC-BCE701D812DF}"/>
    <cellStyle name="Comma 5 2 12 3" xfId="931" xr:uid="{00000000-0005-0000-0000-0000BC030000}"/>
    <cellStyle name="Comma 5 2 12 3 2" xfId="2959" xr:uid="{82B0D8EA-1A23-49E3-AFA8-047C0ECA436D}"/>
    <cellStyle name="Comma 5 2 12 4" xfId="932" xr:uid="{00000000-0005-0000-0000-0000BD030000}"/>
    <cellStyle name="Comma 5 2 12 4 2" xfId="2960" xr:uid="{CDB08705-4D30-4111-B5CE-D7AB1B92CABD}"/>
    <cellStyle name="Comma 5 2 12 5" xfId="2957" xr:uid="{9D3D2E54-330A-4156-ACD4-7CCAB7C61CB0}"/>
    <cellStyle name="Comma 5 2 13" xfId="933" xr:uid="{00000000-0005-0000-0000-0000BE030000}"/>
    <cellStyle name="Comma 5 2 13 2" xfId="934" xr:uid="{00000000-0005-0000-0000-0000BF030000}"/>
    <cellStyle name="Comma 5 2 13 2 2" xfId="2962" xr:uid="{9317AB0E-9CC0-4CF4-8972-EC9C4894EE61}"/>
    <cellStyle name="Comma 5 2 13 3" xfId="935" xr:uid="{00000000-0005-0000-0000-0000C0030000}"/>
    <cellStyle name="Comma 5 2 13 3 2" xfId="2963" xr:uid="{D88362CC-DEF2-4ADD-BA7A-DA275BCA92E2}"/>
    <cellStyle name="Comma 5 2 13 4" xfId="936" xr:uid="{00000000-0005-0000-0000-0000C1030000}"/>
    <cellStyle name="Comma 5 2 13 4 2" xfId="2964" xr:uid="{D0E0DFD6-924D-4E9B-B703-EE9E205B0945}"/>
    <cellStyle name="Comma 5 2 13 5" xfId="2961" xr:uid="{B7A3DC6B-BF4F-444E-9CCD-DB91F4DDA77B}"/>
    <cellStyle name="Comma 5 2 14" xfId="937" xr:uid="{00000000-0005-0000-0000-0000C2030000}"/>
    <cellStyle name="Comma 5 2 14 2" xfId="938" xr:uid="{00000000-0005-0000-0000-0000C3030000}"/>
    <cellStyle name="Comma 5 2 14 2 2" xfId="2966" xr:uid="{124BDE93-77CC-452E-A849-6290B2AA34C7}"/>
    <cellStyle name="Comma 5 2 14 3" xfId="939" xr:uid="{00000000-0005-0000-0000-0000C4030000}"/>
    <cellStyle name="Comma 5 2 14 3 2" xfId="2967" xr:uid="{CBCFC8B3-F457-44CF-8458-82AFD7CD6972}"/>
    <cellStyle name="Comma 5 2 14 4" xfId="940" xr:uid="{00000000-0005-0000-0000-0000C5030000}"/>
    <cellStyle name="Comma 5 2 14 4 2" xfId="2968" xr:uid="{23D55F49-A569-4A23-A6F2-27BCCF077794}"/>
    <cellStyle name="Comma 5 2 14 5" xfId="2965" xr:uid="{EB45E1B3-0A83-4FD2-82DC-55BA4B04FCE0}"/>
    <cellStyle name="Comma 5 2 15" xfId="941" xr:uid="{00000000-0005-0000-0000-0000C6030000}"/>
    <cellStyle name="Comma 5 2 15 2" xfId="942" xr:uid="{00000000-0005-0000-0000-0000C7030000}"/>
    <cellStyle name="Comma 5 2 15 2 2" xfId="2970" xr:uid="{F992CC86-CEDC-43D9-B093-7386058A8DCD}"/>
    <cellStyle name="Comma 5 2 15 3" xfId="943" xr:uid="{00000000-0005-0000-0000-0000C8030000}"/>
    <cellStyle name="Comma 5 2 15 3 2" xfId="2971" xr:uid="{DAE62DF4-BEDF-4C00-BDDD-AA8B33CAACCB}"/>
    <cellStyle name="Comma 5 2 15 4" xfId="2969" xr:uid="{0F8406EC-A967-4154-8739-CD7C1A222140}"/>
    <cellStyle name="Comma 5 2 16" xfId="944" xr:uid="{00000000-0005-0000-0000-0000C9030000}"/>
    <cellStyle name="Comma 5 2 16 2" xfId="2972" xr:uid="{B8DEE0A2-052C-4EFE-BD5B-00FBB679128B}"/>
    <cellStyle name="Comma 5 2 17" xfId="945" xr:uid="{00000000-0005-0000-0000-0000CA030000}"/>
    <cellStyle name="Comma 5 2 17 2" xfId="2973" xr:uid="{1456E50A-904B-4F45-9ACA-F7142DD9C989}"/>
    <cellStyle name="Comma 5 2 18" xfId="946" xr:uid="{00000000-0005-0000-0000-0000CB030000}"/>
    <cellStyle name="Comma 5 2 18 2" xfId="2974" xr:uid="{B42AFF19-2FF2-4641-A929-3DF2F509B373}"/>
    <cellStyle name="Comma 5 2 2" xfId="947" xr:uid="{00000000-0005-0000-0000-0000CC030000}"/>
    <cellStyle name="Comma 5 2 2 2" xfId="948" xr:uid="{00000000-0005-0000-0000-0000CD030000}"/>
    <cellStyle name="Comma 5 2 2 2 2" xfId="2976" xr:uid="{DCE04EC5-25D9-4872-9ABC-1D6CCCDF98B2}"/>
    <cellStyle name="Comma 5 2 2 3" xfId="949" xr:uid="{00000000-0005-0000-0000-0000CE030000}"/>
    <cellStyle name="Comma 5 2 2 3 2" xfId="2977" xr:uid="{5085F07C-C4F2-450B-AD69-80C2359AD157}"/>
    <cellStyle name="Comma 5 2 2 4" xfId="950" xr:uid="{00000000-0005-0000-0000-0000CF030000}"/>
    <cellStyle name="Comma 5 2 2 4 2" xfId="2978" xr:uid="{EC6ABD56-5EF3-4902-BADD-56CC6EFA443E}"/>
    <cellStyle name="Comma 5 2 2 5" xfId="2975" xr:uid="{D29313AD-F08A-4338-9FAF-1302B7B0B5BB}"/>
    <cellStyle name="Comma 5 2 3" xfId="951" xr:uid="{00000000-0005-0000-0000-0000D0030000}"/>
    <cellStyle name="Comma 5 2 3 2" xfId="952" xr:uid="{00000000-0005-0000-0000-0000D1030000}"/>
    <cellStyle name="Comma 5 2 3 2 2" xfId="2980" xr:uid="{D062477E-839C-424C-B8F9-CBA18B9F022F}"/>
    <cellStyle name="Comma 5 2 3 3" xfId="953" xr:uid="{00000000-0005-0000-0000-0000D2030000}"/>
    <cellStyle name="Comma 5 2 3 3 2" xfId="2981" xr:uid="{64CD92E0-6475-4DBA-8DA2-2CFCE659E7E7}"/>
    <cellStyle name="Comma 5 2 3 4" xfId="954" xr:uid="{00000000-0005-0000-0000-0000D3030000}"/>
    <cellStyle name="Comma 5 2 3 4 2" xfId="2982" xr:uid="{5F8D10B6-1276-4F82-AA58-1FBB9B61C7DE}"/>
    <cellStyle name="Comma 5 2 3 5" xfId="2979" xr:uid="{86A19D54-AE1F-4262-A0F6-0C0596A05F62}"/>
    <cellStyle name="Comma 5 2 4" xfId="955" xr:uid="{00000000-0005-0000-0000-0000D4030000}"/>
    <cellStyle name="Comma 5 2 4 2" xfId="956" xr:uid="{00000000-0005-0000-0000-0000D5030000}"/>
    <cellStyle name="Comma 5 2 4 2 2" xfId="2984" xr:uid="{C6FAD061-C39E-4600-89BB-8E7C5BC157CB}"/>
    <cellStyle name="Comma 5 2 4 3" xfId="957" xr:uid="{00000000-0005-0000-0000-0000D6030000}"/>
    <cellStyle name="Comma 5 2 4 3 2" xfId="2985" xr:uid="{18A0C6F4-A9BC-40E0-A3B8-E58AC72C31D0}"/>
    <cellStyle name="Comma 5 2 4 4" xfId="958" xr:uid="{00000000-0005-0000-0000-0000D7030000}"/>
    <cellStyle name="Comma 5 2 4 4 2" xfId="2986" xr:uid="{956E3C5F-60B5-4548-ADC9-FD8364687E41}"/>
    <cellStyle name="Comma 5 2 4 5" xfId="2983" xr:uid="{141F8B44-9B4B-4B60-B0A0-85AB07269901}"/>
    <cellStyle name="Comma 5 2 5" xfId="959" xr:uid="{00000000-0005-0000-0000-0000D8030000}"/>
    <cellStyle name="Comma 5 2 5 2" xfId="960" xr:uid="{00000000-0005-0000-0000-0000D9030000}"/>
    <cellStyle name="Comma 5 2 5 2 2" xfId="2988" xr:uid="{63859FE5-AEBE-493B-A595-7587F928AB4D}"/>
    <cellStyle name="Comma 5 2 5 3" xfId="961" xr:uid="{00000000-0005-0000-0000-0000DA030000}"/>
    <cellStyle name="Comma 5 2 5 3 2" xfId="2989" xr:uid="{6D390C45-504B-46DD-80BE-681BD4CC11E1}"/>
    <cellStyle name="Comma 5 2 5 4" xfId="962" xr:uid="{00000000-0005-0000-0000-0000DB030000}"/>
    <cellStyle name="Comma 5 2 5 4 2" xfId="2990" xr:uid="{37C6C27F-18AA-47C0-AF5F-2849BF5D436A}"/>
    <cellStyle name="Comma 5 2 5 5" xfId="2987" xr:uid="{FB892ACE-4C59-46CB-8398-989976C1812F}"/>
    <cellStyle name="Comma 5 2 6" xfId="963" xr:uid="{00000000-0005-0000-0000-0000DC030000}"/>
    <cellStyle name="Comma 5 2 6 2" xfId="964" xr:uid="{00000000-0005-0000-0000-0000DD030000}"/>
    <cellStyle name="Comma 5 2 6 2 2" xfId="2992" xr:uid="{991F8F7D-EE4E-4C34-BBD1-25B574366492}"/>
    <cellStyle name="Comma 5 2 6 3" xfId="965" xr:uid="{00000000-0005-0000-0000-0000DE030000}"/>
    <cellStyle name="Comma 5 2 6 3 2" xfId="2993" xr:uid="{91725F80-218B-43E2-BE3A-0300ED5670F5}"/>
    <cellStyle name="Comma 5 2 6 4" xfId="966" xr:uid="{00000000-0005-0000-0000-0000DF030000}"/>
    <cellStyle name="Comma 5 2 6 4 2" xfId="2994" xr:uid="{FC3A5E42-9527-4863-8FDD-71D4A2CAB1C9}"/>
    <cellStyle name="Comma 5 2 6 5" xfId="2991" xr:uid="{611A601A-3C26-4F07-B423-00C45CAA3E50}"/>
    <cellStyle name="Comma 5 2 7" xfId="967" xr:uid="{00000000-0005-0000-0000-0000E0030000}"/>
    <cellStyle name="Comma 5 2 7 2" xfId="968" xr:uid="{00000000-0005-0000-0000-0000E1030000}"/>
    <cellStyle name="Comma 5 2 7 2 2" xfId="2996" xr:uid="{3E237A97-0D12-4D90-A1AC-AF51D5FEF32D}"/>
    <cellStyle name="Comma 5 2 7 3" xfId="969" xr:uid="{00000000-0005-0000-0000-0000E2030000}"/>
    <cellStyle name="Comma 5 2 7 3 2" xfId="2997" xr:uid="{9038DAA8-7FD8-4D48-9A17-95A57F7DCEA9}"/>
    <cellStyle name="Comma 5 2 7 4" xfId="970" xr:uid="{00000000-0005-0000-0000-0000E3030000}"/>
    <cellStyle name="Comma 5 2 7 4 2" xfId="2998" xr:uid="{A0469419-B7B2-4A76-93AE-9DE7E1B180BE}"/>
    <cellStyle name="Comma 5 2 7 5" xfId="2995" xr:uid="{59D51B8D-52D5-4FC9-A34C-EE20575B38D2}"/>
    <cellStyle name="Comma 5 2 8" xfId="971" xr:uid="{00000000-0005-0000-0000-0000E4030000}"/>
    <cellStyle name="Comma 5 2 8 2" xfId="972" xr:uid="{00000000-0005-0000-0000-0000E5030000}"/>
    <cellStyle name="Comma 5 2 8 2 2" xfId="3000" xr:uid="{E2A84410-9564-4CB8-8661-AC8214B6589F}"/>
    <cellStyle name="Comma 5 2 8 3" xfId="973" xr:uid="{00000000-0005-0000-0000-0000E6030000}"/>
    <cellStyle name="Comma 5 2 8 3 2" xfId="3001" xr:uid="{E05539F9-5DF6-4525-9BB7-21BC5A9E6358}"/>
    <cellStyle name="Comma 5 2 8 4" xfId="974" xr:uid="{00000000-0005-0000-0000-0000E7030000}"/>
    <cellStyle name="Comma 5 2 8 4 2" xfId="3002" xr:uid="{5C67C89F-5124-42B0-99F6-92F09C41C946}"/>
    <cellStyle name="Comma 5 2 8 5" xfId="2999" xr:uid="{75299274-1F7F-4BF6-BB2D-77AE89859A98}"/>
    <cellStyle name="Comma 5 2 9" xfId="975" xr:uid="{00000000-0005-0000-0000-0000E8030000}"/>
    <cellStyle name="Comma 5 2 9 2" xfId="976" xr:uid="{00000000-0005-0000-0000-0000E9030000}"/>
    <cellStyle name="Comma 5 2 9 2 2" xfId="3004" xr:uid="{93A42493-FE32-4C06-9A0F-46FD55815427}"/>
    <cellStyle name="Comma 5 2 9 3" xfId="977" xr:uid="{00000000-0005-0000-0000-0000EA030000}"/>
    <cellStyle name="Comma 5 2 9 3 2" xfId="3005" xr:uid="{EB2E3602-878C-440E-B4AE-C48E54DE07E8}"/>
    <cellStyle name="Comma 5 2 9 4" xfId="978" xr:uid="{00000000-0005-0000-0000-0000EB030000}"/>
    <cellStyle name="Comma 5 2 9 4 2" xfId="3006" xr:uid="{5B2B4102-FB94-4B98-BCE9-D0BC99ABF9C1}"/>
    <cellStyle name="Comma 5 2 9 5" xfId="3003" xr:uid="{3D90CDC1-E412-424E-916E-0E45872645BE}"/>
    <cellStyle name="Comma 5 20" xfId="979" xr:uid="{00000000-0005-0000-0000-0000EC030000}"/>
    <cellStyle name="Comma 5 20 2" xfId="980" xr:uid="{00000000-0005-0000-0000-0000ED030000}"/>
    <cellStyle name="Comma 5 20 2 2" xfId="3008" xr:uid="{30FBB55C-CC26-420A-9BE2-AA3CBEB22FD5}"/>
    <cellStyle name="Comma 5 20 3" xfId="981" xr:uid="{00000000-0005-0000-0000-0000EE030000}"/>
    <cellStyle name="Comma 5 20 3 2" xfId="3009" xr:uid="{50904C60-2C52-4F83-8728-24ED6C5985DB}"/>
    <cellStyle name="Comma 5 20 4" xfId="982" xr:uid="{00000000-0005-0000-0000-0000EF030000}"/>
    <cellStyle name="Comma 5 20 4 2" xfId="3010" xr:uid="{CD46025B-038E-4E20-BCFE-B7C52EC3933B}"/>
    <cellStyle name="Comma 5 20 5" xfId="3007" xr:uid="{6E7E4807-2EC3-4774-8621-51206478C758}"/>
    <cellStyle name="Comma 5 21" xfId="983" xr:uid="{00000000-0005-0000-0000-0000F0030000}"/>
    <cellStyle name="Comma 5 21 2" xfId="984" xr:uid="{00000000-0005-0000-0000-0000F1030000}"/>
    <cellStyle name="Comma 5 21 2 2" xfId="3012" xr:uid="{B4D2CE14-0883-4D6D-B03A-0A38F6EDDF1A}"/>
    <cellStyle name="Comma 5 21 3" xfId="985" xr:uid="{00000000-0005-0000-0000-0000F2030000}"/>
    <cellStyle name="Comma 5 21 3 2" xfId="3013" xr:uid="{BBD63E31-BB1C-411A-9825-1BDAA923C734}"/>
    <cellStyle name="Comma 5 21 4" xfId="986" xr:uid="{00000000-0005-0000-0000-0000F3030000}"/>
    <cellStyle name="Comma 5 21 4 2" xfId="3014" xr:uid="{84AC924D-DF17-4183-A23B-B022DF0D5E7D}"/>
    <cellStyle name="Comma 5 21 5" xfId="3011" xr:uid="{A60C082F-01FE-4D9E-9007-A89F0B95464D}"/>
    <cellStyle name="Comma 5 22" xfId="987" xr:uid="{00000000-0005-0000-0000-0000F4030000}"/>
    <cellStyle name="Comma 5 22 2" xfId="3015" xr:uid="{189B2048-81A3-408A-B7C2-BB96E8F2D53F}"/>
    <cellStyle name="Comma 5 23" xfId="988" xr:uid="{00000000-0005-0000-0000-0000F5030000}"/>
    <cellStyle name="Comma 5 23 2" xfId="3016" xr:uid="{EF9BBB13-7F4A-4B5A-96B4-258FF11BF037}"/>
    <cellStyle name="Comma 5 24" xfId="989" xr:uid="{00000000-0005-0000-0000-0000F6030000}"/>
    <cellStyle name="Comma 5 24 2" xfId="3017" xr:uid="{A5A38ACF-905E-4387-B409-25BD6A3BD147}"/>
    <cellStyle name="Comma 5 3" xfId="990" xr:uid="{00000000-0005-0000-0000-0000F7030000}"/>
    <cellStyle name="Comma 5 3 2" xfId="991" xr:uid="{00000000-0005-0000-0000-0000F8030000}"/>
    <cellStyle name="Comma 5 3 2 2" xfId="3019" xr:uid="{43219D51-59DF-497C-B89E-3BECD9A56331}"/>
    <cellStyle name="Comma 5 3 3" xfId="992" xr:uid="{00000000-0005-0000-0000-0000F9030000}"/>
    <cellStyle name="Comma 5 3 3 2" xfId="3020" xr:uid="{6F8983F8-98FD-42C4-A6C6-5815F912CC6A}"/>
    <cellStyle name="Comma 5 3 4" xfId="993" xr:uid="{00000000-0005-0000-0000-0000FA030000}"/>
    <cellStyle name="Comma 5 3 4 2" xfId="3021" xr:uid="{52D3E1EF-5071-49D5-BCB7-8AEE14383BBD}"/>
    <cellStyle name="Comma 5 3 5" xfId="3018" xr:uid="{7489A23F-9DA2-4F7C-9EDC-E7392F20B850}"/>
    <cellStyle name="Comma 5 4" xfId="994" xr:uid="{00000000-0005-0000-0000-0000FB030000}"/>
    <cellStyle name="Comma 5 4 2" xfId="995" xr:uid="{00000000-0005-0000-0000-0000FC030000}"/>
    <cellStyle name="Comma 5 4 2 2" xfId="3023" xr:uid="{ADC63987-A9EB-4BC3-8C23-2219B51A35A4}"/>
    <cellStyle name="Comma 5 4 3" xfId="996" xr:uid="{00000000-0005-0000-0000-0000FD030000}"/>
    <cellStyle name="Comma 5 4 3 2" xfId="3024" xr:uid="{F3377641-F69B-419C-B062-5F3ADBD0DFE2}"/>
    <cellStyle name="Comma 5 4 4" xfId="997" xr:uid="{00000000-0005-0000-0000-0000FE030000}"/>
    <cellStyle name="Comma 5 4 4 2" xfId="3025" xr:uid="{39E24093-8D95-40AC-B86B-3779A163C2D6}"/>
    <cellStyle name="Comma 5 4 5" xfId="3022" xr:uid="{A42E12EA-2F35-471C-B56F-E723EED498A3}"/>
    <cellStyle name="Comma 5 5" xfId="998" xr:uid="{00000000-0005-0000-0000-0000FF030000}"/>
    <cellStyle name="Comma 5 5 2" xfId="999" xr:uid="{00000000-0005-0000-0000-000000040000}"/>
    <cellStyle name="Comma 5 5 2 2" xfId="3027" xr:uid="{2DC85C31-6C37-408F-B646-DD86D99DA62C}"/>
    <cellStyle name="Comma 5 5 3" xfId="1000" xr:uid="{00000000-0005-0000-0000-000001040000}"/>
    <cellStyle name="Comma 5 5 3 2" xfId="3028" xr:uid="{1179B9C9-3F30-4664-9B89-9D70AB657F6E}"/>
    <cellStyle name="Comma 5 5 4" xfId="1001" xr:uid="{00000000-0005-0000-0000-000002040000}"/>
    <cellStyle name="Comma 5 5 4 2" xfId="3029" xr:uid="{70362DBE-211F-4F17-BCC7-86BFB54876F2}"/>
    <cellStyle name="Comma 5 5 5" xfId="3026" xr:uid="{C69AECA3-ECB1-43E2-A542-01531CDC256F}"/>
    <cellStyle name="Comma 5 6" xfId="1002" xr:uid="{00000000-0005-0000-0000-000003040000}"/>
    <cellStyle name="Comma 5 6 2" xfId="1003" xr:uid="{00000000-0005-0000-0000-000004040000}"/>
    <cellStyle name="Comma 5 6 2 2" xfId="3031" xr:uid="{464F558D-0CD9-4851-BFEA-9046AFF0B0B2}"/>
    <cellStyle name="Comma 5 6 3" xfId="1004" xr:uid="{00000000-0005-0000-0000-000005040000}"/>
    <cellStyle name="Comma 5 6 3 2" xfId="3032" xr:uid="{D5FD3BBF-BB86-4E14-B0AE-98E338659D0E}"/>
    <cellStyle name="Comma 5 6 4" xfId="1005" xr:uid="{00000000-0005-0000-0000-000006040000}"/>
    <cellStyle name="Comma 5 6 4 2" xfId="3033" xr:uid="{F39908A9-A506-400F-8B0F-7219C03A23F7}"/>
    <cellStyle name="Comma 5 6 5" xfId="3030" xr:uid="{0C42E013-7B8E-4549-8743-CE47B8A4FDB8}"/>
    <cellStyle name="Comma 5 7" xfId="1006" xr:uid="{00000000-0005-0000-0000-000007040000}"/>
    <cellStyle name="Comma 5 7 2" xfId="1007" xr:uid="{00000000-0005-0000-0000-000008040000}"/>
    <cellStyle name="Comma 5 7 2 2" xfId="3035" xr:uid="{CA142C9D-2C8B-42D4-9D97-356F20E2F7A4}"/>
    <cellStyle name="Comma 5 7 3" xfId="1008" xr:uid="{00000000-0005-0000-0000-000009040000}"/>
    <cellStyle name="Comma 5 7 3 2" xfId="3036" xr:uid="{43BD5330-2B9C-4DB5-969A-B8CC5FFE3D53}"/>
    <cellStyle name="Comma 5 7 4" xfId="1009" xr:uid="{00000000-0005-0000-0000-00000A040000}"/>
    <cellStyle name="Comma 5 7 4 2" xfId="3037" xr:uid="{D6DC8F54-471A-4FFA-AACE-8D29E0B972DF}"/>
    <cellStyle name="Comma 5 7 5" xfId="3034" xr:uid="{2A1838AD-2B4F-4FAC-A7AD-08155F524C98}"/>
    <cellStyle name="Comma 5 8" xfId="1010" xr:uid="{00000000-0005-0000-0000-00000B040000}"/>
    <cellStyle name="Comma 5 8 2" xfId="1011" xr:uid="{00000000-0005-0000-0000-00000C040000}"/>
    <cellStyle name="Comma 5 8 2 2" xfId="3039" xr:uid="{7D8607AB-5BDF-4AC1-BBEF-43C9515E410F}"/>
    <cellStyle name="Comma 5 8 3" xfId="1012" xr:uid="{00000000-0005-0000-0000-00000D040000}"/>
    <cellStyle name="Comma 5 8 3 2" xfId="3040" xr:uid="{6B387F3B-6E9C-454B-A469-D7428AE42879}"/>
    <cellStyle name="Comma 5 8 4" xfId="1013" xr:uid="{00000000-0005-0000-0000-00000E040000}"/>
    <cellStyle name="Comma 5 8 4 2" xfId="3041" xr:uid="{DE0ECA38-4402-4DAC-AB40-E0BE01765E87}"/>
    <cellStyle name="Comma 5 8 5" xfId="3038" xr:uid="{89B70E6C-10FB-412A-87F6-16CF581D1676}"/>
    <cellStyle name="Comma 5 9" xfId="1014" xr:uid="{00000000-0005-0000-0000-00000F040000}"/>
    <cellStyle name="Comma 5 9 2" xfId="1015" xr:uid="{00000000-0005-0000-0000-000010040000}"/>
    <cellStyle name="Comma 5 9 2 2" xfId="3043" xr:uid="{CFC39928-FC24-4D30-8D36-C49663040886}"/>
    <cellStyle name="Comma 5 9 3" xfId="1016" xr:uid="{00000000-0005-0000-0000-000011040000}"/>
    <cellStyle name="Comma 5 9 3 2" xfId="3044" xr:uid="{5FDF4A3B-F9C9-487E-BF55-B41D96302DCA}"/>
    <cellStyle name="Comma 5 9 4" xfId="1017" xr:uid="{00000000-0005-0000-0000-000012040000}"/>
    <cellStyle name="Comma 5 9 4 2" xfId="3045" xr:uid="{1745C6D2-9C1C-4A3F-BC07-7108909C5509}"/>
    <cellStyle name="Comma 5 9 5" xfId="3042" xr:uid="{97461C11-6EC5-48D4-AF48-8C5F880A0A8C}"/>
    <cellStyle name="Comma 6" xfId="1018" xr:uid="{00000000-0005-0000-0000-000013040000}"/>
    <cellStyle name="Comma 6 10" xfId="1019" xr:uid="{00000000-0005-0000-0000-000014040000}"/>
    <cellStyle name="Comma 6 10 2" xfId="1020" xr:uid="{00000000-0005-0000-0000-000015040000}"/>
    <cellStyle name="Comma 6 10 2 2" xfId="3048" xr:uid="{1458E237-A33B-4623-9DBA-843FA07EBDBC}"/>
    <cellStyle name="Comma 6 10 3" xfId="1021" xr:uid="{00000000-0005-0000-0000-000016040000}"/>
    <cellStyle name="Comma 6 10 3 2" xfId="3049" xr:uid="{CAAAF3B7-1F35-469D-958F-1CBC952F83B3}"/>
    <cellStyle name="Comma 6 10 4" xfId="1022" xr:uid="{00000000-0005-0000-0000-000017040000}"/>
    <cellStyle name="Comma 6 10 4 2" xfId="3050" xr:uid="{D2190D7E-C8EC-4CC7-979D-FDC9691F5452}"/>
    <cellStyle name="Comma 6 10 5" xfId="3047" xr:uid="{89624D6E-E8B1-4E6B-82DE-D041FD6B258C}"/>
    <cellStyle name="Comma 6 11" xfId="1023" xr:uid="{00000000-0005-0000-0000-000018040000}"/>
    <cellStyle name="Comma 6 11 2" xfId="1024" xr:uid="{00000000-0005-0000-0000-000019040000}"/>
    <cellStyle name="Comma 6 11 2 2" xfId="3052" xr:uid="{E756E27C-1B21-49E3-8119-EEE8932F2135}"/>
    <cellStyle name="Comma 6 11 3" xfId="1025" xr:uid="{00000000-0005-0000-0000-00001A040000}"/>
    <cellStyle name="Comma 6 11 3 2" xfId="3053" xr:uid="{2E610E5C-66E1-44C3-9165-7808FA7996A7}"/>
    <cellStyle name="Comma 6 11 4" xfId="1026" xr:uid="{00000000-0005-0000-0000-00001B040000}"/>
    <cellStyle name="Comma 6 11 4 2" xfId="3054" xr:uid="{86B9A55D-DB45-4AF9-B8D9-FE572CC1457A}"/>
    <cellStyle name="Comma 6 11 5" xfId="3051" xr:uid="{6F4B3E58-3506-46A7-9F78-3AB6035C1A6A}"/>
    <cellStyle name="Comma 6 12" xfId="1027" xr:uid="{00000000-0005-0000-0000-00001C040000}"/>
    <cellStyle name="Comma 6 12 2" xfId="1028" xr:uid="{00000000-0005-0000-0000-00001D040000}"/>
    <cellStyle name="Comma 6 12 2 2" xfId="3056" xr:uid="{6AA629D2-A9B8-4F8F-A0F9-E0501CD4F203}"/>
    <cellStyle name="Comma 6 12 3" xfId="1029" xr:uid="{00000000-0005-0000-0000-00001E040000}"/>
    <cellStyle name="Comma 6 12 3 2" xfId="3057" xr:uid="{FDA8C94A-0D9D-4CFF-96AD-6B7184995547}"/>
    <cellStyle name="Comma 6 12 4" xfId="1030" xr:uid="{00000000-0005-0000-0000-00001F040000}"/>
    <cellStyle name="Comma 6 12 4 2" xfId="3058" xr:uid="{66B2871E-AC6A-45B0-AE6A-A1485D974C2C}"/>
    <cellStyle name="Comma 6 12 5" xfId="3055" xr:uid="{CDDFB802-5EFE-44CE-A554-35A38FEFFEC6}"/>
    <cellStyle name="Comma 6 13" xfId="1031" xr:uid="{00000000-0005-0000-0000-000020040000}"/>
    <cellStyle name="Comma 6 13 2" xfId="1032" xr:uid="{00000000-0005-0000-0000-000021040000}"/>
    <cellStyle name="Comma 6 13 2 2" xfId="3060" xr:uid="{EC4C755F-557B-44E3-A47F-5B090457A527}"/>
    <cellStyle name="Comma 6 13 3" xfId="1033" xr:uid="{00000000-0005-0000-0000-000022040000}"/>
    <cellStyle name="Comma 6 13 3 2" xfId="3061" xr:uid="{0D084701-C70D-4D1F-A351-7F23474DB490}"/>
    <cellStyle name="Comma 6 13 4" xfId="1034" xr:uid="{00000000-0005-0000-0000-000023040000}"/>
    <cellStyle name="Comma 6 13 4 2" xfId="3062" xr:uid="{747DDA49-9BAD-4A94-9518-5C643CA62AB8}"/>
    <cellStyle name="Comma 6 13 5" xfId="3059" xr:uid="{9D2EB219-84C3-4716-8876-83847DF57572}"/>
    <cellStyle name="Comma 6 14" xfId="1035" xr:uid="{00000000-0005-0000-0000-000024040000}"/>
    <cellStyle name="Comma 6 14 2" xfId="1036" xr:uid="{00000000-0005-0000-0000-000025040000}"/>
    <cellStyle name="Comma 6 14 2 2" xfId="3064" xr:uid="{D08B0A7E-66A0-4271-8FDB-890EB49D9EE6}"/>
    <cellStyle name="Comma 6 14 3" xfId="1037" xr:uid="{00000000-0005-0000-0000-000026040000}"/>
    <cellStyle name="Comma 6 14 3 2" xfId="3065" xr:uid="{D433DB3B-F6CC-420D-85DA-3DDBB864A887}"/>
    <cellStyle name="Comma 6 14 4" xfId="1038" xr:uid="{00000000-0005-0000-0000-000027040000}"/>
    <cellStyle name="Comma 6 14 4 2" xfId="3066" xr:uid="{981D4DD1-7A26-484A-B777-E74F2F2BE67A}"/>
    <cellStyle name="Comma 6 14 5" xfId="3063" xr:uid="{D93D4CDC-E7AF-428D-BD42-02EEA39009B4}"/>
    <cellStyle name="Comma 6 15" xfId="1039" xr:uid="{00000000-0005-0000-0000-000028040000}"/>
    <cellStyle name="Comma 6 15 2" xfId="1040" xr:uid="{00000000-0005-0000-0000-000029040000}"/>
    <cellStyle name="Comma 6 15 2 2" xfId="3068" xr:uid="{B560065A-DD24-40C2-A03A-80C09F23BF8E}"/>
    <cellStyle name="Comma 6 15 3" xfId="1041" xr:uid="{00000000-0005-0000-0000-00002A040000}"/>
    <cellStyle name="Comma 6 15 3 2" xfId="3069" xr:uid="{671A37B7-C244-4835-8FD9-DCACE23FC977}"/>
    <cellStyle name="Comma 6 15 4" xfId="1042" xr:uid="{00000000-0005-0000-0000-00002B040000}"/>
    <cellStyle name="Comma 6 15 4 2" xfId="3070" xr:uid="{37E388D0-AE12-4259-9519-C01E0CD66FB8}"/>
    <cellStyle name="Comma 6 15 5" xfId="3067" xr:uid="{F91D75F7-39B0-45A3-8014-21E258B4D6E0}"/>
    <cellStyle name="Comma 6 16" xfId="1043" xr:uid="{00000000-0005-0000-0000-00002C040000}"/>
    <cellStyle name="Comma 6 16 2" xfId="1044" xr:uid="{00000000-0005-0000-0000-00002D040000}"/>
    <cellStyle name="Comma 6 16 2 2" xfId="3072" xr:uid="{49F275C4-B416-4822-9363-41CD3CA8CC96}"/>
    <cellStyle name="Comma 6 16 3" xfId="1045" xr:uid="{00000000-0005-0000-0000-00002E040000}"/>
    <cellStyle name="Comma 6 16 3 2" xfId="3073" xr:uid="{0DD9C092-6E04-4265-92C8-B8D8E5D04D89}"/>
    <cellStyle name="Comma 6 16 4" xfId="1046" xr:uid="{00000000-0005-0000-0000-00002F040000}"/>
    <cellStyle name="Comma 6 16 4 2" xfId="3074" xr:uid="{8547F88D-3612-4242-849B-465081B420A8}"/>
    <cellStyle name="Comma 6 16 5" xfId="3071" xr:uid="{49EB4B53-021D-4732-8126-B64C05505E0A}"/>
    <cellStyle name="Comma 6 17" xfId="1047" xr:uid="{00000000-0005-0000-0000-000030040000}"/>
    <cellStyle name="Comma 6 17 2" xfId="1048" xr:uid="{00000000-0005-0000-0000-000031040000}"/>
    <cellStyle name="Comma 6 17 2 2" xfId="3076" xr:uid="{BBE03A32-2F81-4507-9E02-5B38A792CABA}"/>
    <cellStyle name="Comma 6 17 3" xfId="1049" xr:uid="{00000000-0005-0000-0000-000032040000}"/>
    <cellStyle name="Comma 6 17 3 2" xfId="3077" xr:uid="{51173BC6-715E-4668-A3C2-6C5F8C59C5D0}"/>
    <cellStyle name="Comma 6 17 4" xfId="1050" xr:uid="{00000000-0005-0000-0000-000033040000}"/>
    <cellStyle name="Comma 6 17 4 2" xfId="3078" xr:uid="{AB17B4AA-041F-41FE-B49B-618F1D97E583}"/>
    <cellStyle name="Comma 6 17 5" xfId="3075" xr:uid="{D89F04F8-159E-4129-B4D6-7EF5BB313D26}"/>
    <cellStyle name="Comma 6 18" xfId="1051" xr:uid="{00000000-0005-0000-0000-000034040000}"/>
    <cellStyle name="Comma 6 18 2" xfId="1052" xr:uid="{00000000-0005-0000-0000-000035040000}"/>
    <cellStyle name="Comma 6 18 2 2" xfId="3080" xr:uid="{6D70571D-B362-434D-8B39-7BC085455BEE}"/>
    <cellStyle name="Comma 6 18 3" xfId="1053" xr:uid="{00000000-0005-0000-0000-000036040000}"/>
    <cellStyle name="Comma 6 18 3 2" xfId="3081" xr:uid="{1A15D8E7-DD68-4909-A477-CA614083E078}"/>
    <cellStyle name="Comma 6 18 4" xfId="1054" xr:uid="{00000000-0005-0000-0000-000037040000}"/>
    <cellStyle name="Comma 6 18 4 2" xfId="3082" xr:uid="{3BBA9967-C375-49AE-A25A-668E59265544}"/>
    <cellStyle name="Comma 6 18 5" xfId="3079" xr:uid="{9A820505-FA70-4A6E-8481-F1A81C7CC294}"/>
    <cellStyle name="Comma 6 19" xfId="1055" xr:uid="{00000000-0005-0000-0000-000038040000}"/>
    <cellStyle name="Comma 6 19 2" xfId="1056" xr:uid="{00000000-0005-0000-0000-000039040000}"/>
    <cellStyle name="Comma 6 19 2 2" xfId="3084" xr:uid="{84273F4E-C680-434F-8A9D-7F1296DC2DC6}"/>
    <cellStyle name="Comma 6 19 3" xfId="1057" xr:uid="{00000000-0005-0000-0000-00003A040000}"/>
    <cellStyle name="Comma 6 19 3 2" xfId="3085" xr:uid="{51D4B8B9-F0E0-4F3F-9D53-A4EB976B3523}"/>
    <cellStyle name="Comma 6 19 4" xfId="1058" xr:uid="{00000000-0005-0000-0000-00003B040000}"/>
    <cellStyle name="Comma 6 19 4 2" xfId="3086" xr:uid="{4262F78D-586E-4802-B1F7-5D49BDA67465}"/>
    <cellStyle name="Comma 6 19 5" xfId="3083" xr:uid="{CB836E52-4B6F-4032-8E1E-836E6DA825A1}"/>
    <cellStyle name="Comma 6 2" xfId="1059" xr:uid="{00000000-0005-0000-0000-00003C040000}"/>
    <cellStyle name="Comma 6 2 2" xfId="1060" xr:uid="{00000000-0005-0000-0000-00003D040000}"/>
    <cellStyle name="Comma 6 2 2 2" xfId="3088" xr:uid="{EFA271F4-3255-4458-B8FA-88E4C105FECE}"/>
    <cellStyle name="Comma 6 2 3" xfId="1061" xr:uid="{00000000-0005-0000-0000-00003E040000}"/>
    <cellStyle name="Comma 6 2 3 2" xfId="3089" xr:uid="{887D397B-6B9C-4C9F-BA05-1B1E08A352CD}"/>
    <cellStyle name="Comma 6 2 4" xfId="1062" xr:uid="{00000000-0005-0000-0000-00003F040000}"/>
    <cellStyle name="Comma 6 2 4 2" xfId="3090" xr:uid="{0DC1B329-4E46-477C-A2A1-510B35719BC9}"/>
    <cellStyle name="Comma 6 2 5" xfId="3087" xr:uid="{7586C1B0-D7BB-4DDC-BB53-524EA5833538}"/>
    <cellStyle name="Comma 6 20" xfId="1063" xr:uid="{00000000-0005-0000-0000-000040040000}"/>
    <cellStyle name="Comma 6 20 2" xfId="1064" xr:uid="{00000000-0005-0000-0000-000041040000}"/>
    <cellStyle name="Comma 6 20 2 2" xfId="3092" xr:uid="{3A3B7C2E-38DB-4D4B-AF1E-7AEECF0F8A25}"/>
    <cellStyle name="Comma 6 20 3" xfId="1065" xr:uid="{00000000-0005-0000-0000-000042040000}"/>
    <cellStyle name="Comma 6 20 3 2" xfId="3093" xr:uid="{6EAE8435-F63D-40EF-90A2-3FEB0DB5CF1E}"/>
    <cellStyle name="Comma 6 20 4" xfId="1066" xr:uid="{00000000-0005-0000-0000-000043040000}"/>
    <cellStyle name="Comma 6 20 4 2" xfId="3094" xr:uid="{6BF3AA1D-5658-428E-BB73-0016DC391752}"/>
    <cellStyle name="Comma 6 20 5" xfId="3091" xr:uid="{22A27F33-0AD4-4568-A91D-FA7F35D596C6}"/>
    <cellStyle name="Comma 6 21" xfId="1067" xr:uid="{00000000-0005-0000-0000-000044040000}"/>
    <cellStyle name="Comma 6 21 2" xfId="1068" xr:uid="{00000000-0005-0000-0000-000045040000}"/>
    <cellStyle name="Comma 6 21 2 2" xfId="3096" xr:uid="{D04879DF-25D4-4FA9-BF75-65207E6031CE}"/>
    <cellStyle name="Comma 6 21 3" xfId="1069" xr:uid="{00000000-0005-0000-0000-000046040000}"/>
    <cellStyle name="Comma 6 21 3 2" xfId="3097" xr:uid="{4AE9573E-C36E-4734-8363-1EBE047D35CF}"/>
    <cellStyle name="Comma 6 21 4" xfId="1070" xr:uid="{00000000-0005-0000-0000-000047040000}"/>
    <cellStyle name="Comma 6 21 4 2" xfId="3098" xr:uid="{5C28CBC8-B69D-4A50-A31F-41CB4EDDA291}"/>
    <cellStyle name="Comma 6 21 5" xfId="3095" xr:uid="{10FAD268-1B01-407C-861B-D3E614AEDF95}"/>
    <cellStyle name="Comma 6 22" xfId="1071" xr:uid="{00000000-0005-0000-0000-000048040000}"/>
    <cellStyle name="Comma 6 22 2" xfId="3099" xr:uid="{24508332-D9FE-45F0-BB47-2533A1FB1BF0}"/>
    <cellStyle name="Comma 6 23" xfId="1072" xr:uid="{00000000-0005-0000-0000-000049040000}"/>
    <cellStyle name="Comma 6 23 2" xfId="3100" xr:uid="{19A71DE2-3BA9-420F-9EF1-C38F90092772}"/>
    <cellStyle name="Comma 6 24" xfId="1073" xr:uid="{00000000-0005-0000-0000-00004A040000}"/>
    <cellStyle name="Comma 6 24 2" xfId="3101" xr:uid="{40CC3AA4-7A55-4B6D-946A-CAC480E41E89}"/>
    <cellStyle name="Comma 6 25" xfId="3046" xr:uid="{BB5B0589-0DC3-4CDC-A71C-CB26F97D694B}"/>
    <cellStyle name="Comma 6 3" xfId="1074" xr:uid="{00000000-0005-0000-0000-00004B040000}"/>
    <cellStyle name="Comma 6 3 2" xfId="1075" xr:uid="{00000000-0005-0000-0000-00004C040000}"/>
    <cellStyle name="Comma 6 3 2 2" xfId="3103" xr:uid="{427534B8-CCC2-4833-BF32-5DE77969E8F8}"/>
    <cellStyle name="Comma 6 3 3" xfId="1076" xr:uid="{00000000-0005-0000-0000-00004D040000}"/>
    <cellStyle name="Comma 6 3 3 2" xfId="3104" xr:uid="{A28F7214-DE6D-4A3D-BDA3-13CCBAEE6DBA}"/>
    <cellStyle name="Comma 6 3 4" xfId="1077" xr:uid="{00000000-0005-0000-0000-00004E040000}"/>
    <cellStyle name="Comma 6 3 4 2" xfId="3105" xr:uid="{5274D75B-383B-49FC-BC39-FB1761D668CF}"/>
    <cellStyle name="Comma 6 3 5" xfId="3102" xr:uid="{A4132184-682B-4936-8F46-CA4D5797287E}"/>
    <cellStyle name="Comma 6 4" xfId="1078" xr:uid="{00000000-0005-0000-0000-00004F040000}"/>
    <cellStyle name="Comma 6 4 2" xfId="1079" xr:uid="{00000000-0005-0000-0000-000050040000}"/>
    <cellStyle name="Comma 6 4 2 2" xfId="3107" xr:uid="{CDDFD23D-99BA-49C1-A708-39469CBE883A}"/>
    <cellStyle name="Comma 6 4 3" xfId="1080" xr:uid="{00000000-0005-0000-0000-000051040000}"/>
    <cellStyle name="Comma 6 4 3 2" xfId="3108" xr:uid="{CE823433-DF2B-4880-B6D4-3B1B12F507D5}"/>
    <cellStyle name="Comma 6 4 4" xfId="1081" xr:uid="{00000000-0005-0000-0000-000052040000}"/>
    <cellStyle name="Comma 6 4 4 2" xfId="3109" xr:uid="{7803A324-4157-4333-80EE-097CE611A740}"/>
    <cellStyle name="Comma 6 4 5" xfId="3106" xr:uid="{DC829D62-5FAF-40D6-82AD-4A98C847B1EC}"/>
    <cellStyle name="Comma 6 5" xfId="1082" xr:uid="{00000000-0005-0000-0000-000053040000}"/>
    <cellStyle name="Comma 6 5 2" xfId="1083" xr:uid="{00000000-0005-0000-0000-000054040000}"/>
    <cellStyle name="Comma 6 5 2 2" xfId="3111" xr:uid="{D4D0F96F-7A60-4080-8D33-9ED8CB980144}"/>
    <cellStyle name="Comma 6 5 3" xfId="1084" xr:uid="{00000000-0005-0000-0000-000055040000}"/>
    <cellStyle name="Comma 6 5 3 2" xfId="3112" xr:uid="{315D7DCC-7FF3-46C5-83B1-2A480B6A7BAE}"/>
    <cellStyle name="Comma 6 5 4" xfId="1085" xr:uid="{00000000-0005-0000-0000-000056040000}"/>
    <cellStyle name="Comma 6 5 4 2" xfId="3113" xr:uid="{23AEA228-8FCD-4352-BA24-44233FBCEC31}"/>
    <cellStyle name="Comma 6 5 5" xfId="3110" xr:uid="{49C54C4A-5BDC-4EBE-A930-6F5B23FBB3A6}"/>
    <cellStyle name="Comma 6 6" xfId="1086" xr:uid="{00000000-0005-0000-0000-000057040000}"/>
    <cellStyle name="Comma 6 6 2" xfId="1087" xr:uid="{00000000-0005-0000-0000-000058040000}"/>
    <cellStyle name="Comma 6 6 2 2" xfId="3115" xr:uid="{041BBCAF-BEC1-4042-8695-DF361D82DCE3}"/>
    <cellStyle name="Comma 6 6 3" xfId="1088" xr:uid="{00000000-0005-0000-0000-000059040000}"/>
    <cellStyle name="Comma 6 6 3 2" xfId="3116" xr:uid="{1AA8A0FD-870D-44E5-9C03-BAA3133105A6}"/>
    <cellStyle name="Comma 6 6 4" xfId="1089" xr:uid="{00000000-0005-0000-0000-00005A040000}"/>
    <cellStyle name="Comma 6 6 4 2" xfId="3117" xr:uid="{3E08043A-C3CB-4BB7-9ABC-59EB7D6D2A30}"/>
    <cellStyle name="Comma 6 6 5" xfId="3114" xr:uid="{0C8AD152-B327-495D-A67A-E6E9ADD689A5}"/>
    <cellStyle name="Comma 6 7" xfId="1090" xr:uid="{00000000-0005-0000-0000-00005B040000}"/>
    <cellStyle name="Comma 6 7 2" xfId="1091" xr:uid="{00000000-0005-0000-0000-00005C040000}"/>
    <cellStyle name="Comma 6 7 2 2" xfId="3119" xr:uid="{CF078ED1-F638-48C6-B619-6195D7EBB707}"/>
    <cellStyle name="Comma 6 7 3" xfId="1092" xr:uid="{00000000-0005-0000-0000-00005D040000}"/>
    <cellStyle name="Comma 6 7 3 2" xfId="3120" xr:uid="{8C25C7F7-F661-4AD4-AE15-AC8F620750EC}"/>
    <cellStyle name="Comma 6 7 4" xfId="1093" xr:uid="{00000000-0005-0000-0000-00005E040000}"/>
    <cellStyle name="Comma 6 7 4 2" xfId="3121" xr:uid="{E4F0842C-EEFB-4554-BB7A-86C39876C854}"/>
    <cellStyle name="Comma 6 7 5" xfId="3118" xr:uid="{A0DEBFDA-E1DF-428C-850C-A23D9DD4DEF7}"/>
    <cellStyle name="Comma 6 8" xfId="1094" xr:uid="{00000000-0005-0000-0000-00005F040000}"/>
    <cellStyle name="Comma 6 8 2" xfId="1095" xr:uid="{00000000-0005-0000-0000-000060040000}"/>
    <cellStyle name="Comma 6 8 2 2" xfId="3123" xr:uid="{68B69F03-5031-42B8-9C55-C65BE4B48643}"/>
    <cellStyle name="Comma 6 8 3" xfId="1096" xr:uid="{00000000-0005-0000-0000-000061040000}"/>
    <cellStyle name="Comma 6 8 3 2" xfId="3124" xr:uid="{7CF8EB25-6DD8-4FC8-9DDC-F08B37EC00AD}"/>
    <cellStyle name="Comma 6 8 4" xfId="1097" xr:uid="{00000000-0005-0000-0000-000062040000}"/>
    <cellStyle name="Comma 6 8 4 2" xfId="3125" xr:uid="{832050DD-5CAB-4AD6-959E-92252CDD730D}"/>
    <cellStyle name="Comma 6 8 5" xfId="3122" xr:uid="{D99A527D-D2A1-41D0-8401-36B7D00E2672}"/>
    <cellStyle name="Comma 6 9" xfId="1098" xr:uid="{00000000-0005-0000-0000-000063040000}"/>
    <cellStyle name="Comma 6 9 2" xfId="1099" xr:uid="{00000000-0005-0000-0000-000064040000}"/>
    <cellStyle name="Comma 6 9 2 2" xfId="3127" xr:uid="{8BC29B0F-124F-40A9-9113-18FFF14BEA1E}"/>
    <cellStyle name="Comma 6 9 3" xfId="1100" xr:uid="{00000000-0005-0000-0000-000065040000}"/>
    <cellStyle name="Comma 6 9 3 2" xfId="3128" xr:uid="{1A5EEAA5-0BEB-4776-88D2-B9C4948C5660}"/>
    <cellStyle name="Comma 6 9 4" xfId="1101" xr:uid="{00000000-0005-0000-0000-000066040000}"/>
    <cellStyle name="Comma 6 9 4 2" xfId="3129" xr:uid="{4308FC4C-EC9E-423E-AE81-2A9F0B36C607}"/>
    <cellStyle name="Comma 6 9 5" xfId="3126" xr:uid="{72BC0BA0-9450-4727-80B3-6BDE816B583C}"/>
    <cellStyle name="Comma 7" xfId="1102" xr:uid="{00000000-0005-0000-0000-000067040000}"/>
    <cellStyle name="Comma 7 10" xfId="1103" xr:uid="{00000000-0005-0000-0000-000068040000}"/>
    <cellStyle name="Comma 7 10 2" xfId="1104" xr:uid="{00000000-0005-0000-0000-000069040000}"/>
    <cellStyle name="Comma 7 10 2 2" xfId="3132" xr:uid="{8F2D4E5E-9645-4C97-85A7-E406EE240DC6}"/>
    <cellStyle name="Comma 7 10 3" xfId="1105" xr:uid="{00000000-0005-0000-0000-00006A040000}"/>
    <cellStyle name="Comma 7 10 3 2" xfId="3133" xr:uid="{8498D359-D873-4642-85FB-66931D298C0C}"/>
    <cellStyle name="Comma 7 10 4" xfId="1106" xr:uid="{00000000-0005-0000-0000-00006B040000}"/>
    <cellStyle name="Comma 7 10 4 2" xfId="3134" xr:uid="{409021CD-BD85-4A61-91BF-10FE1E9AD322}"/>
    <cellStyle name="Comma 7 10 5" xfId="3131" xr:uid="{92CB1612-E296-4331-A4F3-5090AFB29F3D}"/>
    <cellStyle name="Comma 7 11" xfId="1107" xr:uid="{00000000-0005-0000-0000-00006C040000}"/>
    <cellStyle name="Comma 7 11 2" xfId="1108" xr:uid="{00000000-0005-0000-0000-00006D040000}"/>
    <cellStyle name="Comma 7 11 2 2" xfId="3136" xr:uid="{FFCDC1C8-3067-4DDA-8D67-E274214964F9}"/>
    <cellStyle name="Comma 7 11 3" xfId="1109" xr:uid="{00000000-0005-0000-0000-00006E040000}"/>
    <cellStyle name="Comma 7 11 3 2" xfId="3137" xr:uid="{910BA71B-E7D3-48A2-9A03-123C29EAA249}"/>
    <cellStyle name="Comma 7 11 4" xfId="1110" xr:uid="{00000000-0005-0000-0000-00006F040000}"/>
    <cellStyle name="Comma 7 11 4 2" xfId="3138" xr:uid="{D3910A3F-F499-4FD1-9F79-93AA55556978}"/>
    <cellStyle name="Comma 7 11 5" xfId="3135" xr:uid="{D32260C4-1210-494B-8B69-98E125F2152F}"/>
    <cellStyle name="Comma 7 12" xfId="1111" xr:uid="{00000000-0005-0000-0000-000070040000}"/>
    <cellStyle name="Comma 7 12 2" xfId="1112" xr:uid="{00000000-0005-0000-0000-000071040000}"/>
    <cellStyle name="Comma 7 12 2 2" xfId="3140" xr:uid="{FBF5610A-E52B-46F5-9DAE-E41727F68F9A}"/>
    <cellStyle name="Comma 7 12 3" xfId="1113" xr:uid="{00000000-0005-0000-0000-000072040000}"/>
    <cellStyle name="Comma 7 12 3 2" xfId="3141" xr:uid="{4F31489B-F98F-47BC-9F8E-3F8353008D91}"/>
    <cellStyle name="Comma 7 12 4" xfId="1114" xr:uid="{00000000-0005-0000-0000-000073040000}"/>
    <cellStyle name="Comma 7 12 4 2" xfId="3142" xr:uid="{F9744E0B-CA50-43E9-9DEB-5BEC9C0BA7AA}"/>
    <cellStyle name="Comma 7 12 5" xfId="3139" xr:uid="{6607C04D-6024-4EF3-B4F3-4FBFDCE34126}"/>
    <cellStyle name="Comma 7 13" xfId="1115" xr:uid="{00000000-0005-0000-0000-000074040000}"/>
    <cellStyle name="Comma 7 13 2" xfId="1116" xr:uid="{00000000-0005-0000-0000-000075040000}"/>
    <cellStyle name="Comma 7 13 2 2" xfId="3144" xr:uid="{E836EF58-7BCB-4249-832C-DB0178816BAA}"/>
    <cellStyle name="Comma 7 13 3" xfId="1117" xr:uid="{00000000-0005-0000-0000-000076040000}"/>
    <cellStyle name="Comma 7 13 3 2" xfId="3145" xr:uid="{DBC47BCE-ABA7-4047-A9D6-20DE2E4478B0}"/>
    <cellStyle name="Comma 7 13 4" xfId="1118" xr:uid="{00000000-0005-0000-0000-000077040000}"/>
    <cellStyle name="Comma 7 13 4 2" xfId="3146" xr:uid="{F19AA0C8-CBFF-4F89-881A-9307A1E13C04}"/>
    <cellStyle name="Comma 7 13 5" xfId="3143" xr:uid="{45FD68C5-5853-4841-9904-E870329A3938}"/>
    <cellStyle name="Comma 7 14" xfId="1119" xr:uid="{00000000-0005-0000-0000-000078040000}"/>
    <cellStyle name="Comma 7 14 2" xfId="1120" xr:uid="{00000000-0005-0000-0000-000079040000}"/>
    <cellStyle name="Comma 7 14 2 2" xfId="3148" xr:uid="{7D58232C-2EF5-4687-BAEC-3D31BB9B7CCC}"/>
    <cellStyle name="Comma 7 14 3" xfId="1121" xr:uid="{00000000-0005-0000-0000-00007A040000}"/>
    <cellStyle name="Comma 7 14 3 2" xfId="3149" xr:uid="{A8F35639-8B09-454F-AEBC-6014D4F5A669}"/>
    <cellStyle name="Comma 7 14 4" xfId="1122" xr:uid="{00000000-0005-0000-0000-00007B040000}"/>
    <cellStyle name="Comma 7 14 4 2" xfId="3150" xr:uid="{58D253D4-67BE-4DD9-919A-970AA3C66BF2}"/>
    <cellStyle name="Comma 7 14 5" xfId="3147" xr:uid="{0C330FEA-7B08-470E-B83C-40B32CDD727E}"/>
    <cellStyle name="Comma 7 15" xfId="1123" xr:uid="{00000000-0005-0000-0000-00007C040000}"/>
    <cellStyle name="Comma 7 15 2" xfId="1124" xr:uid="{00000000-0005-0000-0000-00007D040000}"/>
    <cellStyle name="Comma 7 15 2 2" xfId="3152" xr:uid="{3CD44185-A90C-4BA1-A14B-BFBF8BE564B9}"/>
    <cellStyle name="Comma 7 15 3" xfId="1125" xr:uid="{00000000-0005-0000-0000-00007E040000}"/>
    <cellStyle name="Comma 7 15 3 2" xfId="3153" xr:uid="{E7B430E6-F630-4A71-A2A6-AD581AFCB991}"/>
    <cellStyle name="Comma 7 15 4" xfId="1126" xr:uid="{00000000-0005-0000-0000-00007F040000}"/>
    <cellStyle name="Comma 7 15 4 2" xfId="3154" xr:uid="{2183B44B-4C7E-4E3D-83A4-B4BC40C62F71}"/>
    <cellStyle name="Comma 7 15 5" xfId="3151" xr:uid="{F61450B8-1894-4255-8948-1FCDC9ADA8D7}"/>
    <cellStyle name="Comma 7 16" xfId="1127" xr:uid="{00000000-0005-0000-0000-000080040000}"/>
    <cellStyle name="Comma 7 16 2" xfId="1128" xr:uid="{00000000-0005-0000-0000-000081040000}"/>
    <cellStyle name="Comma 7 16 2 2" xfId="3156" xr:uid="{C51AFB9C-8D5C-417D-A239-B25E887D1C02}"/>
    <cellStyle name="Comma 7 16 3" xfId="1129" xr:uid="{00000000-0005-0000-0000-000082040000}"/>
    <cellStyle name="Comma 7 16 3 2" xfId="3157" xr:uid="{B37B5ACA-CBB1-49D1-A569-5EAE1F1455C1}"/>
    <cellStyle name="Comma 7 16 4" xfId="1130" xr:uid="{00000000-0005-0000-0000-000083040000}"/>
    <cellStyle name="Comma 7 16 4 2" xfId="3158" xr:uid="{FE9F6372-28D7-4FEF-9E5D-5DE42C86BE55}"/>
    <cellStyle name="Comma 7 16 5" xfId="3155" xr:uid="{9B9980B0-774B-469C-8A3C-E4EF7E941A97}"/>
    <cellStyle name="Comma 7 17" xfId="1131" xr:uid="{00000000-0005-0000-0000-000084040000}"/>
    <cellStyle name="Comma 7 17 2" xfId="1132" xr:uid="{00000000-0005-0000-0000-000085040000}"/>
    <cellStyle name="Comma 7 17 2 2" xfId="3160" xr:uid="{F8F39DF6-16D7-4320-B6EC-D86BA636C191}"/>
    <cellStyle name="Comma 7 17 3" xfId="1133" xr:uid="{00000000-0005-0000-0000-000086040000}"/>
    <cellStyle name="Comma 7 17 3 2" xfId="3161" xr:uid="{0CC4FFC2-B179-443E-B65E-9F226488E6A6}"/>
    <cellStyle name="Comma 7 17 4" xfId="1134" xr:uid="{00000000-0005-0000-0000-000087040000}"/>
    <cellStyle name="Comma 7 17 4 2" xfId="3162" xr:uid="{2B56843A-8CC5-4610-B8BC-71682E140EA4}"/>
    <cellStyle name="Comma 7 17 5" xfId="3159" xr:uid="{DC54BA9B-9016-46BF-BDC1-66E5398F55FB}"/>
    <cellStyle name="Comma 7 18" xfId="1135" xr:uid="{00000000-0005-0000-0000-000088040000}"/>
    <cellStyle name="Comma 7 18 2" xfId="1136" xr:uid="{00000000-0005-0000-0000-000089040000}"/>
    <cellStyle name="Comma 7 18 2 2" xfId="3164" xr:uid="{C534F840-587C-42A3-9681-8FA71888BF7A}"/>
    <cellStyle name="Comma 7 18 3" xfId="1137" xr:uid="{00000000-0005-0000-0000-00008A040000}"/>
    <cellStyle name="Comma 7 18 3 2" xfId="3165" xr:uid="{508FAE19-D830-42CC-9278-6E91EEA5FDDD}"/>
    <cellStyle name="Comma 7 18 4" xfId="1138" xr:uid="{00000000-0005-0000-0000-00008B040000}"/>
    <cellStyle name="Comma 7 18 4 2" xfId="3166" xr:uid="{31EB976A-445E-45B1-9BB1-E5159589C0DC}"/>
    <cellStyle name="Comma 7 18 5" xfId="3163" xr:uid="{D8978189-C4CF-448B-B291-10C68F10D456}"/>
    <cellStyle name="Comma 7 19" xfId="1139" xr:uid="{00000000-0005-0000-0000-00008C040000}"/>
    <cellStyle name="Comma 7 19 2" xfId="1140" xr:uid="{00000000-0005-0000-0000-00008D040000}"/>
    <cellStyle name="Comma 7 19 2 2" xfId="3168" xr:uid="{CD741B88-2608-498A-A58C-DE04D35651CB}"/>
    <cellStyle name="Comma 7 19 3" xfId="1141" xr:uid="{00000000-0005-0000-0000-00008E040000}"/>
    <cellStyle name="Comma 7 19 3 2" xfId="3169" xr:uid="{B7B464B5-98A8-406D-B10D-15B223ED18D9}"/>
    <cellStyle name="Comma 7 19 4" xfId="1142" xr:uid="{00000000-0005-0000-0000-00008F040000}"/>
    <cellStyle name="Comma 7 19 4 2" xfId="3170" xr:uid="{634B7A6C-9F52-45D6-ADBF-16459A7C8899}"/>
    <cellStyle name="Comma 7 19 5" xfId="3167" xr:uid="{C91250E1-D696-478E-9786-E9C855BEA449}"/>
    <cellStyle name="Comma 7 2" xfId="1143" xr:uid="{00000000-0005-0000-0000-000090040000}"/>
    <cellStyle name="Comma 7 2 2" xfId="1144" xr:uid="{00000000-0005-0000-0000-000091040000}"/>
    <cellStyle name="Comma 7 2 2 2" xfId="3172" xr:uid="{0444C94C-3846-4B99-B889-5E35F3985AE9}"/>
    <cellStyle name="Comma 7 2 3" xfId="1145" xr:uid="{00000000-0005-0000-0000-000092040000}"/>
    <cellStyle name="Comma 7 2 3 2" xfId="3173" xr:uid="{17711A53-94C7-44A4-9D7D-654702B26B9B}"/>
    <cellStyle name="Comma 7 2 4" xfId="1146" xr:uid="{00000000-0005-0000-0000-000093040000}"/>
    <cellStyle name="Comma 7 2 4 2" xfId="3174" xr:uid="{10DC2817-D2F5-4F23-BD55-09E6D8783293}"/>
    <cellStyle name="Comma 7 2 5" xfId="3171" xr:uid="{10D6FD6F-FED6-4762-85AD-743D74AC5228}"/>
    <cellStyle name="Comma 7 20" xfId="1147" xr:uid="{00000000-0005-0000-0000-000094040000}"/>
    <cellStyle name="Comma 7 20 2" xfId="1148" xr:uid="{00000000-0005-0000-0000-000095040000}"/>
    <cellStyle name="Comma 7 20 2 2" xfId="3176" xr:uid="{38D9F4E9-499B-4087-B26E-41DDA8BF2881}"/>
    <cellStyle name="Comma 7 20 3" xfId="1149" xr:uid="{00000000-0005-0000-0000-000096040000}"/>
    <cellStyle name="Comma 7 20 3 2" xfId="3177" xr:uid="{25959165-CD62-4468-90FD-9524EB61A4E0}"/>
    <cellStyle name="Comma 7 20 4" xfId="1150" xr:uid="{00000000-0005-0000-0000-000097040000}"/>
    <cellStyle name="Comma 7 20 4 2" xfId="3178" xr:uid="{979A5004-0437-4659-BC8C-3C83CB485B8F}"/>
    <cellStyle name="Comma 7 20 5" xfId="3175" xr:uid="{D6A0F805-4913-4DEE-A92C-8F27839068B7}"/>
    <cellStyle name="Comma 7 21" xfId="1151" xr:uid="{00000000-0005-0000-0000-000098040000}"/>
    <cellStyle name="Comma 7 21 2" xfId="1152" xr:uid="{00000000-0005-0000-0000-000099040000}"/>
    <cellStyle name="Comma 7 21 2 2" xfId="3180" xr:uid="{906E4261-1F8C-4EA6-8EA7-875279ADEBC9}"/>
    <cellStyle name="Comma 7 21 3" xfId="1153" xr:uid="{00000000-0005-0000-0000-00009A040000}"/>
    <cellStyle name="Comma 7 21 3 2" xfId="3181" xr:uid="{C552DAB0-C35D-45C6-9C18-C5403AAC40DC}"/>
    <cellStyle name="Comma 7 21 4" xfId="1154" xr:uid="{00000000-0005-0000-0000-00009B040000}"/>
    <cellStyle name="Comma 7 21 4 2" xfId="3182" xr:uid="{6C76273A-DB0F-4047-A97B-D32DF2E5565D}"/>
    <cellStyle name="Comma 7 21 5" xfId="3179" xr:uid="{30DF9A57-B558-477F-A6BC-680641AE052C}"/>
    <cellStyle name="Comma 7 22" xfId="1155" xr:uid="{00000000-0005-0000-0000-00009C040000}"/>
    <cellStyle name="Comma 7 22 2" xfId="3183" xr:uid="{AA4EE024-940C-4289-A38E-22AF6C87690B}"/>
    <cellStyle name="Comma 7 23" xfId="1156" xr:uid="{00000000-0005-0000-0000-00009D040000}"/>
    <cellStyle name="Comma 7 23 2" xfId="3184" xr:uid="{42FE3507-4370-4339-82E7-9FF0AC24978C}"/>
    <cellStyle name="Comma 7 24" xfId="1157" xr:uid="{00000000-0005-0000-0000-00009E040000}"/>
    <cellStyle name="Comma 7 24 2" xfId="3185" xr:uid="{974793AC-49BB-4895-A8B1-AB6C2F2F5239}"/>
    <cellStyle name="Comma 7 25" xfId="3130" xr:uid="{AB3E4597-1C11-4E2C-B94A-A20795F0F42A}"/>
    <cellStyle name="Comma 7 3" xfId="1158" xr:uid="{00000000-0005-0000-0000-00009F040000}"/>
    <cellStyle name="Comma 7 3 2" xfId="1159" xr:uid="{00000000-0005-0000-0000-0000A0040000}"/>
    <cellStyle name="Comma 7 3 2 2" xfId="3187" xr:uid="{201C03CB-E009-438D-82CD-F3A3E9B101A7}"/>
    <cellStyle name="Comma 7 3 3" xfId="1160" xr:uid="{00000000-0005-0000-0000-0000A1040000}"/>
    <cellStyle name="Comma 7 3 3 2" xfId="3188" xr:uid="{3D1CCD89-7293-472E-8B04-C6D2BF6F40D1}"/>
    <cellStyle name="Comma 7 3 4" xfId="1161" xr:uid="{00000000-0005-0000-0000-0000A2040000}"/>
    <cellStyle name="Comma 7 3 4 2" xfId="3189" xr:uid="{C2B5D317-069C-452A-B604-C36E91741FF0}"/>
    <cellStyle name="Comma 7 3 5" xfId="3186" xr:uid="{A3E01FFE-74F7-4AD4-AAC7-366FBD8F8082}"/>
    <cellStyle name="Comma 7 4" xfId="1162" xr:uid="{00000000-0005-0000-0000-0000A3040000}"/>
    <cellStyle name="Comma 7 4 2" xfId="1163" xr:uid="{00000000-0005-0000-0000-0000A4040000}"/>
    <cellStyle name="Comma 7 4 2 2" xfId="3191" xr:uid="{D6064283-0A89-45A7-8B8A-04F3447B6F27}"/>
    <cellStyle name="Comma 7 4 3" xfId="1164" xr:uid="{00000000-0005-0000-0000-0000A5040000}"/>
    <cellStyle name="Comma 7 4 3 2" xfId="3192" xr:uid="{AB50DAB9-1D52-4FCB-AE9A-3B0CBA04D41C}"/>
    <cellStyle name="Comma 7 4 4" xfId="1165" xr:uid="{00000000-0005-0000-0000-0000A6040000}"/>
    <cellStyle name="Comma 7 4 4 2" xfId="3193" xr:uid="{AD4F1375-4B3D-4D20-A5E3-120DB852F78D}"/>
    <cellStyle name="Comma 7 4 5" xfId="3190" xr:uid="{194B16C8-6279-4D57-AF32-19F4A0DCC9F3}"/>
    <cellStyle name="Comma 7 5" xfId="1166" xr:uid="{00000000-0005-0000-0000-0000A7040000}"/>
    <cellStyle name="Comma 7 5 2" xfId="1167" xr:uid="{00000000-0005-0000-0000-0000A8040000}"/>
    <cellStyle name="Comma 7 5 2 2" xfId="3195" xr:uid="{D98A597F-B3A3-4968-8025-A8F35E5911BF}"/>
    <cellStyle name="Comma 7 5 3" xfId="1168" xr:uid="{00000000-0005-0000-0000-0000A9040000}"/>
    <cellStyle name="Comma 7 5 3 2" xfId="3196" xr:uid="{05A260D3-01D9-4DD0-A51E-8D3A538C1CF2}"/>
    <cellStyle name="Comma 7 5 4" xfId="1169" xr:uid="{00000000-0005-0000-0000-0000AA040000}"/>
    <cellStyle name="Comma 7 5 4 2" xfId="3197" xr:uid="{5A4394AB-44BC-4FD4-8EAD-CABF85F39795}"/>
    <cellStyle name="Comma 7 5 5" xfId="3194" xr:uid="{A96B3E0D-6575-4BF9-92A5-274D3DDCCF78}"/>
    <cellStyle name="Comma 7 6" xfId="1170" xr:uid="{00000000-0005-0000-0000-0000AB040000}"/>
    <cellStyle name="Comma 7 6 2" xfId="1171" xr:uid="{00000000-0005-0000-0000-0000AC040000}"/>
    <cellStyle name="Comma 7 6 2 2" xfId="3199" xr:uid="{F30A7435-05D2-45D1-8C42-8CC564541D5A}"/>
    <cellStyle name="Comma 7 6 3" xfId="1172" xr:uid="{00000000-0005-0000-0000-0000AD040000}"/>
    <cellStyle name="Comma 7 6 3 2" xfId="3200" xr:uid="{926081AF-1D86-4275-8205-8291BD948677}"/>
    <cellStyle name="Comma 7 6 4" xfId="1173" xr:uid="{00000000-0005-0000-0000-0000AE040000}"/>
    <cellStyle name="Comma 7 6 4 2" xfId="3201" xr:uid="{86B2307F-A9F0-4B10-BF11-0FA4D154E882}"/>
    <cellStyle name="Comma 7 6 5" xfId="3198" xr:uid="{189151DC-B910-4E8C-A6CD-597089B63946}"/>
    <cellStyle name="Comma 7 7" xfId="1174" xr:uid="{00000000-0005-0000-0000-0000AF040000}"/>
    <cellStyle name="Comma 7 7 2" xfId="1175" xr:uid="{00000000-0005-0000-0000-0000B0040000}"/>
    <cellStyle name="Comma 7 7 2 2" xfId="3203" xr:uid="{EB8D33B4-CD1E-4E15-9D23-CFC2A701DFD2}"/>
    <cellStyle name="Comma 7 7 3" xfId="1176" xr:uid="{00000000-0005-0000-0000-0000B1040000}"/>
    <cellStyle name="Comma 7 7 3 2" xfId="3204" xr:uid="{4089193D-AFD5-4DEC-96E7-5028A876517B}"/>
    <cellStyle name="Comma 7 7 4" xfId="1177" xr:uid="{00000000-0005-0000-0000-0000B2040000}"/>
    <cellStyle name="Comma 7 7 4 2" xfId="3205" xr:uid="{5FAC863F-8C76-405E-B909-602CB352C877}"/>
    <cellStyle name="Comma 7 7 5" xfId="3202" xr:uid="{DDB1750C-FD59-45F5-A2E6-50C5D8B1A59E}"/>
    <cellStyle name="Comma 7 8" xfId="1178" xr:uid="{00000000-0005-0000-0000-0000B3040000}"/>
    <cellStyle name="Comma 7 8 2" xfId="1179" xr:uid="{00000000-0005-0000-0000-0000B4040000}"/>
    <cellStyle name="Comma 7 8 2 2" xfId="3207" xr:uid="{089824E4-3352-4778-B402-6C4A0F564443}"/>
    <cellStyle name="Comma 7 8 3" xfId="1180" xr:uid="{00000000-0005-0000-0000-0000B5040000}"/>
    <cellStyle name="Comma 7 8 3 2" xfId="3208" xr:uid="{EDF8B827-67D3-4194-8110-C45AA057E929}"/>
    <cellStyle name="Comma 7 8 4" xfId="1181" xr:uid="{00000000-0005-0000-0000-0000B6040000}"/>
    <cellStyle name="Comma 7 8 4 2" xfId="3209" xr:uid="{E0124959-5908-4F72-BD28-C9D150AFA192}"/>
    <cellStyle name="Comma 7 8 5" xfId="3206" xr:uid="{EC7B7746-EF45-401A-9B98-06C49AF33BD4}"/>
    <cellStyle name="Comma 7 9" xfId="1182" xr:uid="{00000000-0005-0000-0000-0000B7040000}"/>
    <cellStyle name="Comma 7 9 2" xfId="1183" xr:uid="{00000000-0005-0000-0000-0000B8040000}"/>
    <cellStyle name="Comma 7 9 2 2" xfId="3211" xr:uid="{CF98F552-FF81-4E68-A736-89F72A385D0F}"/>
    <cellStyle name="Comma 7 9 3" xfId="1184" xr:uid="{00000000-0005-0000-0000-0000B9040000}"/>
    <cellStyle name="Comma 7 9 3 2" xfId="3212" xr:uid="{8CD6A6AC-FB40-48C9-8DCE-46F6FF57FC00}"/>
    <cellStyle name="Comma 7 9 4" xfId="1185" xr:uid="{00000000-0005-0000-0000-0000BA040000}"/>
    <cellStyle name="Comma 7 9 4 2" xfId="3213" xr:uid="{06A58BC1-0BB2-44AB-92AC-2BE0E49B6919}"/>
    <cellStyle name="Comma 7 9 5" xfId="3210" xr:uid="{343032D1-4AFD-4E15-9965-20B02F16903C}"/>
    <cellStyle name="Comma 8" xfId="1186" xr:uid="{00000000-0005-0000-0000-0000BB040000}"/>
    <cellStyle name="Comma 8 10" xfId="1187" xr:uid="{00000000-0005-0000-0000-0000BC040000}"/>
    <cellStyle name="Comma 8 10 2" xfId="1188" xr:uid="{00000000-0005-0000-0000-0000BD040000}"/>
    <cellStyle name="Comma 8 10 2 2" xfId="3216" xr:uid="{C5EE83D3-1264-4C82-870F-0C4E247F351B}"/>
    <cellStyle name="Comma 8 10 3" xfId="1189" xr:uid="{00000000-0005-0000-0000-0000BE040000}"/>
    <cellStyle name="Comma 8 10 3 2" xfId="3217" xr:uid="{46BE09BC-D3A2-4870-9571-45759D652D5E}"/>
    <cellStyle name="Comma 8 10 4" xfId="1190" xr:uid="{00000000-0005-0000-0000-0000BF040000}"/>
    <cellStyle name="Comma 8 10 4 2" xfId="3218" xr:uid="{A741F12E-8E54-4A48-96EA-883923827717}"/>
    <cellStyle name="Comma 8 10 5" xfId="3215" xr:uid="{46BE2284-FC02-411C-AD7C-AA7034306FEC}"/>
    <cellStyle name="Comma 8 11" xfId="1191" xr:uid="{00000000-0005-0000-0000-0000C0040000}"/>
    <cellStyle name="Comma 8 11 2" xfId="1192" xr:uid="{00000000-0005-0000-0000-0000C1040000}"/>
    <cellStyle name="Comma 8 11 2 2" xfId="3220" xr:uid="{BE4055E4-5444-4716-B9D6-30F71486189C}"/>
    <cellStyle name="Comma 8 11 3" xfId="1193" xr:uid="{00000000-0005-0000-0000-0000C2040000}"/>
    <cellStyle name="Comma 8 11 3 2" xfId="3221" xr:uid="{5F609257-A851-4BF9-BAB5-76A329B00A96}"/>
    <cellStyle name="Comma 8 11 4" xfId="1194" xr:uid="{00000000-0005-0000-0000-0000C3040000}"/>
    <cellStyle name="Comma 8 11 4 2" xfId="3222" xr:uid="{52DA5E20-184F-431C-8C70-E737077EAB3E}"/>
    <cellStyle name="Comma 8 11 5" xfId="3219" xr:uid="{74E81B08-42F6-4E4E-B0CD-45B2F110203E}"/>
    <cellStyle name="Comma 8 12" xfId="1195" xr:uid="{00000000-0005-0000-0000-0000C4040000}"/>
    <cellStyle name="Comma 8 12 2" xfId="1196" xr:uid="{00000000-0005-0000-0000-0000C5040000}"/>
    <cellStyle name="Comma 8 12 2 2" xfId="3224" xr:uid="{89F520F7-401E-47C9-B064-9264EC20B197}"/>
    <cellStyle name="Comma 8 12 3" xfId="1197" xr:uid="{00000000-0005-0000-0000-0000C6040000}"/>
    <cellStyle name="Comma 8 12 3 2" xfId="3225" xr:uid="{C0A2F341-97F9-4BA4-BF0D-4439547DE4CC}"/>
    <cellStyle name="Comma 8 12 4" xfId="1198" xr:uid="{00000000-0005-0000-0000-0000C7040000}"/>
    <cellStyle name="Comma 8 12 4 2" xfId="3226" xr:uid="{4A2DE256-3DCA-4588-A902-B5CE958AE210}"/>
    <cellStyle name="Comma 8 12 5" xfId="3223" xr:uid="{718206EA-34E7-49CE-AAB6-DBF56E87464B}"/>
    <cellStyle name="Comma 8 13" xfId="1199" xr:uid="{00000000-0005-0000-0000-0000C8040000}"/>
    <cellStyle name="Comma 8 13 2" xfId="1200" xr:uid="{00000000-0005-0000-0000-0000C9040000}"/>
    <cellStyle name="Comma 8 13 2 2" xfId="3228" xr:uid="{9C394A79-6336-4A70-98BA-202C7A8D5723}"/>
    <cellStyle name="Comma 8 13 3" xfId="1201" xr:uid="{00000000-0005-0000-0000-0000CA040000}"/>
    <cellStyle name="Comma 8 13 3 2" xfId="3229" xr:uid="{9BDCCF99-A19E-4B9C-9800-97303C2E92B4}"/>
    <cellStyle name="Comma 8 13 4" xfId="1202" xr:uid="{00000000-0005-0000-0000-0000CB040000}"/>
    <cellStyle name="Comma 8 13 4 2" xfId="3230" xr:uid="{8193B018-E224-4AD2-B60B-3340094524C0}"/>
    <cellStyle name="Comma 8 13 5" xfId="3227" xr:uid="{DE67D929-5F70-4E7C-BF4E-82B7C5DD8A72}"/>
    <cellStyle name="Comma 8 14" xfId="1203" xr:uid="{00000000-0005-0000-0000-0000CC040000}"/>
    <cellStyle name="Comma 8 14 2" xfId="1204" xr:uid="{00000000-0005-0000-0000-0000CD040000}"/>
    <cellStyle name="Comma 8 14 2 2" xfId="3232" xr:uid="{F8F47FC2-CFCE-4E58-B86C-FE99C02AA516}"/>
    <cellStyle name="Comma 8 14 3" xfId="1205" xr:uid="{00000000-0005-0000-0000-0000CE040000}"/>
    <cellStyle name="Comma 8 14 3 2" xfId="3233" xr:uid="{8EFA796B-7851-4302-B7C7-7D718DC56DA8}"/>
    <cellStyle name="Comma 8 14 4" xfId="1206" xr:uid="{00000000-0005-0000-0000-0000CF040000}"/>
    <cellStyle name="Comma 8 14 4 2" xfId="3234" xr:uid="{EF400A41-5358-49EE-B3DC-C10537FB5A6D}"/>
    <cellStyle name="Comma 8 14 5" xfId="3231" xr:uid="{2235350B-F586-4E95-894C-257CD6822BDE}"/>
    <cellStyle name="Comma 8 15" xfId="1207" xr:uid="{00000000-0005-0000-0000-0000D0040000}"/>
    <cellStyle name="Comma 8 15 2" xfId="1208" xr:uid="{00000000-0005-0000-0000-0000D1040000}"/>
    <cellStyle name="Comma 8 15 2 2" xfId="3236" xr:uid="{C27360DB-5090-446E-B895-407FE388E90E}"/>
    <cellStyle name="Comma 8 15 3" xfId="1209" xr:uid="{00000000-0005-0000-0000-0000D2040000}"/>
    <cellStyle name="Comma 8 15 3 2" xfId="3237" xr:uid="{457FC860-7C38-4ED8-8457-BD0A727DF976}"/>
    <cellStyle name="Comma 8 15 4" xfId="1210" xr:uid="{00000000-0005-0000-0000-0000D3040000}"/>
    <cellStyle name="Comma 8 15 4 2" xfId="3238" xr:uid="{2698EC8E-3D92-4F26-9882-578441BF4794}"/>
    <cellStyle name="Comma 8 15 5" xfId="3235" xr:uid="{66368F3A-9850-40E0-BDD5-EC8F71DC1A06}"/>
    <cellStyle name="Comma 8 16" xfId="1211" xr:uid="{00000000-0005-0000-0000-0000D4040000}"/>
    <cellStyle name="Comma 8 16 2" xfId="1212" xr:uid="{00000000-0005-0000-0000-0000D5040000}"/>
    <cellStyle name="Comma 8 16 2 2" xfId="3240" xr:uid="{124BF328-821D-4522-B9D7-ED374B43506F}"/>
    <cellStyle name="Comma 8 16 3" xfId="1213" xr:uid="{00000000-0005-0000-0000-0000D6040000}"/>
    <cellStyle name="Comma 8 16 3 2" xfId="3241" xr:uid="{B2314B0E-33E0-49D7-8EF7-E46BD716C58F}"/>
    <cellStyle name="Comma 8 16 4" xfId="1214" xr:uid="{00000000-0005-0000-0000-0000D7040000}"/>
    <cellStyle name="Comma 8 16 4 2" xfId="3242" xr:uid="{0DB43AC8-B8CB-4EA2-A457-225764465FCB}"/>
    <cellStyle name="Comma 8 16 5" xfId="3239" xr:uid="{FB8C9512-3C8D-4403-9D4D-1FDCA07ACA32}"/>
    <cellStyle name="Comma 8 17" xfId="1215" xr:uid="{00000000-0005-0000-0000-0000D8040000}"/>
    <cellStyle name="Comma 8 17 2" xfId="1216" xr:uid="{00000000-0005-0000-0000-0000D9040000}"/>
    <cellStyle name="Comma 8 17 2 2" xfId="3244" xr:uid="{FBD743B8-962E-4893-9CC1-F3D54A40827D}"/>
    <cellStyle name="Comma 8 17 3" xfId="1217" xr:uid="{00000000-0005-0000-0000-0000DA040000}"/>
    <cellStyle name="Comma 8 17 3 2" xfId="3245" xr:uid="{45C314CB-D31C-4DC1-8404-5FDF39C6F78B}"/>
    <cellStyle name="Comma 8 17 4" xfId="1218" xr:uid="{00000000-0005-0000-0000-0000DB040000}"/>
    <cellStyle name="Comma 8 17 4 2" xfId="3246" xr:uid="{47F37E87-DD3F-4957-AFC3-22532958EA46}"/>
    <cellStyle name="Comma 8 17 5" xfId="3243" xr:uid="{A3B061B5-57AB-485F-85E7-5D288AA77D87}"/>
    <cellStyle name="Comma 8 18" xfId="1219" xr:uid="{00000000-0005-0000-0000-0000DC040000}"/>
    <cellStyle name="Comma 8 18 2" xfId="1220" xr:uid="{00000000-0005-0000-0000-0000DD040000}"/>
    <cellStyle name="Comma 8 18 2 2" xfId="3248" xr:uid="{E7684C04-F43D-4150-83AA-3FC1ECE11218}"/>
    <cellStyle name="Comma 8 18 3" xfId="1221" xr:uid="{00000000-0005-0000-0000-0000DE040000}"/>
    <cellStyle name="Comma 8 18 3 2" xfId="3249" xr:uid="{EEE20B43-6910-42E5-9EA7-BCBA0ED524C8}"/>
    <cellStyle name="Comma 8 18 4" xfId="1222" xr:uid="{00000000-0005-0000-0000-0000DF040000}"/>
    <cellStyle name="Comma 8 18 4 2" xfId="3250" xr:uid="{5ED77C40-9083-4481-8237-8EA7DBF50EDC}"/>
    <cellStyle name="Comma 8 18 5" xfId="3247" xr:uid="{1B88821B-5C31-496C-ADDE-FD4BA55042D5}"/>
    <cellStyle name="Comma 8 19" xfId="1223" xr:uid="{00000000-0005-0000-0000-0000E0040000}"/>
    <cellStyle name="Comma 8 19 2" xfId="1224" xr:uid="{00000000-0005-0000-0000-0000E1040000}"/>
    <cellStyle name="Comma 8 19 2 2" xfId="3252" xr:uid="{7DBDD62E-4151-4A9D-8284-AC90D580271C}"/>
    <cellStyle name="Comma 8 19 3" xfId="1225" xr:uid="{00000000-0005-0000-0000-0000E2040000}"/>
    <cellStyle name="Comma 8 19 3 2" xfId="3253" xr:uid="{D4950FCD-963E-4943-84D0-4348C0F3B96F}"/>
    <cellStyle name="Comma 8 19 4" xfId="1226" xr:uid="{00000000-0005-0000-0000-0000E3040000}"/>
    <cellStyle name="Comma 8 19 4 2" xfId="3254" xr:uid="{75E90DE6-DCB8-4CE0-8D2B-76C4D6D6FE9A}"/>
    <cellStyle name="Comma 8 19 5" xfId="3251" xr:uid="{B2D98DD9-57A3-44CA-93D5-71BB80311108}"/>
    <cellStyle name="Comma 8 2" xfId="1227" xr:uid="{00000000-0005-0000-0000-0000E4040000}"/>
    <cellStyle name="Comma 8 2 2" xfId="1228" xr:uid="{00000000-0005-0000-0000-0000E5040000}"/>
    <cellStyle name="Comma 8 2 2 2" xfId="3256" xr:uid="{9FDF05C5-2A74-4CFF-91D5-4266556127CC}"/>
    <cellStyle name="Comma 8 2 3" xfId="1229" xr:uid="{00000000-0005-0000-0000-0000E6040000}"/>
    <cellStyle name="Comma 8 2 3 2" xfId="3257" xr:uid="{D7998BF3-79AC-4EF3-AF8B-50174CB2B83B}"/>
    <cellStyle name="Comma 8 2 4" xfId="1230" xr:uid="{00000000-0005-0000-0000-0000E7040000}"/>
    <cellStyle name="Comma 8 2 4 2" xfId="3258" xr:uid="{C53E7472-E004-4268-A228-5B91FA297E96}"/>
    <cellStyle name="Comma 8 2 5" xfId="3255" xr:uid="{CC0913A8-EC78-4583-BAF9-BF2E1815B84F}"/>
    <cellStyle name="Comma 8 20" xfId="1231" xr:uid="{00000000-0005-0000-0000-0000E8040000}"/>
    <cellStyle name="Comma 8 20 2" xfId="1232" xr:uid="{00000000-0005-0000-0000-0000E9040000}"/>
    <cellStyle name="Comma 8 20 2 2" xfId="3260" xr:uid="{54826CF1-2B43-43AD-9A20-DE7444940996}"/>
    <cellStyle name="Comma 8 20 3" xfId="1233" xr:uid="{00000000-0005-0000-0000-0000EA040000}"/>
    <cellStyle name="Comma 8 20 3 2" xfId="3261" xr:uid="{7C4175C2-A4CA-4AAE-8DBE-6761F704C7AA}"/>
    <cellStyle name="Comma 8 20 4" xfId="1234" xr:uid="{00000000-0005-0000-0000-0000EB040000}"/>
    <cellStyle name="Comma 8 20 4 2" xfId="3262" xr:uid="{2A562E39-A953-47C0-B504-4544873F38CF}"/>
    <cellStyle name="Comma 8 20 5" xfId="3259" xr:uid="{FBC7DAD7-2E18-452C-91CC-AD3BE6F996E8}"/>
    <cellStyle name="Comma 8 21" xfId="1235" xr:uid="{00000000-0005-0000-0000-0000EC040000}"/>
    <cellStyle name="Comma 8 21 2" xfId="1236" xr:uid="{00000000-0005-0000-0000-0000ED040000}"/>
    <cellStyle name="Comma 8 21 2 2" xfId="3264" xr:uid="{78869E76-9EED-42A2-8F25-6167C40E3EC9}"/>
    <cellStyle name="Comma 8 21 3" xfId="1237" xr:uid="{00000000-0005-0000-0000-0000EE040000}"/>
    <cellStyle name="Comma 8 21 3 2" xfId="3265" xr:uid="{FB466293-5703-43CC-8685-E6922115416A}"/>
    <cellStyle name="Comma 8 21 4" xfId="1238" xr:uid="{00000000-0005-0000-0000-0000EF040000}"/>
    <cellStyle name="Comma 8 21 4 2" xfId="3266" xr:uid="{CC510F49-24DE-4270-8085-767EBE00E5DA}"/>
    <cellStyle name="Comma 8 21 5" xfId="3263" xr:uid="{6B76B9AD-928A-48E4-B217-F0809187177A}"/>
    <cellStyle name="Comma 8 22" xfId="1239" xr:uid="{00000000-0005-0000-0000-0000F0040000}"/>
    <cellStyle name="Comma 8 22 2" xfId="3267" xr:uid="{441F2408-AEA4-4FA0-97B5-85C514B08612}"/>
    <cellStyle name="Comma 8 23" xfId="1240" xr:uid="{00000000-0005-0000-0000-0000F1040000}"/>
    <cellStyle name="Comma 8 23 2" xfId="3268" xr:uid="{9030CD21-D16E-4463-8BBB-4A6C5E92DF6A}"/>
    <cellStyle name="Comma 8 24" xfId="1241" xr:uid="{00000000-0005-0000-0000-0000F2040000}"/>
    <cellStyle name="Comma 8 24 2" xfId="3269" xr:uid="{732F594D-82F0-48E0-975E-EBCD32C7027E}"/>
    <cellStyle name="Comma 8 25" xfId="3214" xr:uid="{72AEBA13-63C5-4310-AEC6-76E3C224C854}"/>
    <cellStyle name="Comma 8 3" xfId="1242" xr:uid="{00000000-0005-0000-0000-0000F3040000}"/>
    <cellStyle name="Comma 8 3 2" xfId="1243" xr:uid="{00000000-0005-0000-0000-0000F4040000}"/>
    <cellStyle name="Comma 8 3 2 2" xfId="3271" xr:uid="{BDECAF0D-0565-4988-9EED-FA8002B4FA22}"/>
    <cellStyle name="Comma 8 3 3" xfId="1244" xr:uid="{00000000-0005-0000-0000-0000F5040000}"/>
    <cellStyle name="Comma 8 3 3 2" xfId="3272" xr:uid="{57832FCE-9203-42E6-93BE-26ECF71C17AE}"/>
    <cellStyle name="Comma 8 3 4" xfId="1245" xr:uid="{00000000-0005-0000-0000-0000F6040000}"/>
    <cellStyle name="Comma 8 3 4 2" xfId="3273" xr:uid="{64C49689-452E-4576-93A4-3537C06E2363}"/>
    <cellStyle name="Comma 8 3 5" xfId="3270" xr:uid="{9DED5A73-B594-4664-A16B-F91B35965757}"/>
    <cellStyle name="Comma 8 4" xfId="1246" xr:uid="{00000000-0005-0000-0000-0000F7040000}"/>
    <cellStyle name="Comma 8 4 2" xfId="1247" xr:uid="{00000000-0005-0000-0000-0000F8040000}"/>
    <cellStyle name="Comma 8 4 2 2" xfId="3275" xr:uid="{0B627598-D406-43EF-A2E6-372373C2F567}"/>
    <cellStyle name="Comma 8 4 3" xfId="1248" xr:uid="{00000000-0005-0000-0000-0000F9040000}"/>
    <cellStyle name="Comma 8 4 3 2" xfId="3276" xr:uid="{4CA55D77-91E2-4483-B9B3-90AFCC7EF836}"/>
    <cellStyle name="Comma 8 4 4" xfId="1249" xr:uid="{00000000-0005-0000-0000-0000FA040000}"/>
    <cellStyle name="Comma 8 4 4 2" xfId="3277" xr:uid="{6F7DD9E3-EABC-418B-BFC7-C06892C961B1}"/>
    <cellStyle name="Comma 8 4 5" xfId="3274" xr:uid="{3D07B5C4-3AAC-4E8B-B2EE-2A358DDDC458}"/>
    <cellStyle name="Comma 8 5" xfId="1250" xr:uid="{00000000-0005-0000-0000-0000FB040000}"/>
    <cellStyle name="Comma 8 5 2" xfId="1251" xr:uid="{00000000-0005-0000-0000-0000FC040000}"/>
    <cellStyle name="Comma 8 5 2 2" xfId="3279" xr:uid="{71FB7E7C-C42B-405E-9168-FB9072E1E0C8}"/>
    <cellStyle name="Comma 8 5 3" xfId="1252" xr:uid="{00000000-0005-0000-0000-0000FD040000}"/>
    <cellStyle name="Comma 8 5 3 2" xfId="3280" xr:uid="{B7E2BF72-AC36-4A91-AF7B-60C2098B3E90}"/>
    <cellStyle name="Comma 8 5 4" xfId="1253" xr:uid="{00000000-0005-0000-0000-0000FE040000}"/>
    <cellStyle name="Comma 8 5 4 2" xfId="3281" xr:uid="{1335AD1A-8B16-44B1-801B-FAA3E7B2B47C}"/>
    <cellStyle name="Comma 8 5 5" xfId="3278" xr:uid="{A6E09705-0411-4AC3-B9F9-F30087258F4F}"/>
    <cellStyle name="Comma 8 6" xfId="1254" xr:uid="{00000000-0005-0000-0000-0000FF040000}"/>
    <cellStyle name="Comma 8 6 2" xfId="1255" xr:uid="{00000000-0005-0000-0000-000000050000}"/>
    <cellStyle name="Comma 8 6 2 2" xfId="3283" xr:uid="{D345F94E-872D-4238-854A-9951D9954C15}"/>
    <cellStyle name="Comma 8 6 3" xfId="1256" xr:uid="{00000000-0005-0000-0000-000001050000}"/>
    <cellStyle name="Comma 8 6 3 2" xfId="3284" xr:uid="{879283C3-6E05-42D1-AB6A-8F30F41FEFB7}"/>
    <cellStyle name="Comma 8 6 4" xfId="1257" xr:uid="{00000000-0005-0000-0000-000002050000}"/>
    <cellStyle name="Comma 8 6 4 2" xfId="3285" xr:uid="{1069B6D0-7B7D-432A-BFC2-1B898A1F5ECE}"/>
    <cellStyle name="Comma 8 6 5" xfId="3282" xr:uid="{CE4C3FEB-FA5A-4AC7-AB66-316BDFF45A8F}"/>
    <cellStyle name="Comma 8 7" xfId="1258" xr:uid="{00000000-0005-0000-0000-000003050000}"/>
    <cellStyle name="Comma 8 7 2" xfId="1259" xr:uid="{00000000-0005-0000-0000-000004050000}"/>
    <cellStyle name="Comma 8 7 2 2" xfId="3287" xr:uid="{0AB2E255-8DB4-4A6B-91F8-BF7B9F697A3A}"/>
    <cellStyle name="Comma 8 7 3" xfId="1260" xr:uid="{00000000-0005-0000-0000-000005050000}"/>
    <cellStyle name="Comma 8 7 3 2" xfId="3288" xr:uid="{DEBD8EF4-B9B4-4361-A6F1-E096DC93C848}"/>
    <cellStyle name="Comma 8 7 4" xfId="1261" xr:uid="{00000000-0005-0000-0000-000006050000}"/>
    <cellStyle name="Comma 8 7 4 2" xfId="3289" xr:uid="{B18DCDB9-7BC3-4FD2-8126-D699A030D38B}"/>
    <cellStyle name="Comma 8 7 5" xfId="3286" xr:uid="{42B95D2C-2EC2-432A-965F-BC562503C2BD}"/>
    <cellStyle name="Comma 8 8" xfId="1262" xr:uid="{00000000-0005-0000-0000-000007050000}"/>
    <cellStyle name="Comma 8 8 2" xfId="1263" xr:uid="{00000000-0005-0000-0000-000008050000}"/>
    <cellStyle name="Comma 8 8 2 2" xfId="3291" xr:uid="{399184DF-52C9-4E40-95AF-F64D01780763}"/>
    <cellStyle name="Comma 8 8 3" xfId="1264" xr:uid="{00000000-0005-0000-0000-000009050000}"/>
    <cellStyle name="Comma 8 8 3 2" xfId="3292" xr:uid="{4C19017A-B20B-4EA2-A2E7-7881B59F92B0}"/>
    <cellStyle name="Comma 8 8 4" xfId="1265" xr:uid="{00000000-0005-0000-0000-00000A050000}"/>
    <cellStyle name="Comma 8 8 4 2" xfId="3293" xr:uid="{C94380C3-B21F-4E83-8243-567E67761CAA}"/>
    <cellStyle name="Comma 8 8 5" xfId="3290" xr:uid="{7832D89F-6B43-40AA-A48F-08219BD90152}"/>
    <cellStyle name="Comma 8 9" xfId="1266" xr:uid="{00000000-0005-0000-0000-00000B050000}"/>
    <cellStyle name="Comma 8 9 2" xfId="1267" xr:uid="{00000000-0005-0000-0000-00000C050000}"/>
    <cellStyle name="Comma 8 9 2 2" xfId="3295" xr:uid="{73793137-7FB0-4E4B-9B4B-82659ACC2638}"/>
    <cellStyle name="Comma 8 9 3" xfId="1268" xr:uid="{00000000-0005-0000-0000-00000D050000}"/>
    <cellStyle name="Comma 8 9 3 2" xfId="3296" xr:uid="{421F875F-CED5-4028-A54F-702D9B5545A3}"/>
    <cellStyle name="Comma 8 9 4" xfId="1269" xr:uid="{00000000-0005-0000-0000-00000E050000}"/>
    <cellStyle name="Comma 8 9 4 2" xfId="3297" xr:uid="{1F27B328-8269-4591-A779-94FDDD9EF6D5}"/>
    <cellStyle name="Comma 8 9 5" xfId="3294" xr:uid="{33FBB01D-FB4F-439C-A27D-6D9C43F65593}"/>
    <cellStyle name="Comma 9" xfId="1270" xr:uid="{00000000-0005-0000-0000-00000F050000}"/>
    <cellStyle name="Comma 9 10" xfId="1271" xr:uid="{00000000-0005-0000-0000-000010050000}"/>
    <cellStyle name="Comma 9 10 2" xfId="1272" xr:uid="{00000000-0005-0000-0000-000011050000}"/>
    <cellStyle name="Comma 9 10 2 2" xfId="3299" xr:uid="{FCE4869A-B5B1-497C-9C46-D4C1E28EF6A1}"/>
    <cellStyle name="Comma 9 10 3" xfId="1273" xr:uid="{00000000-0005-0000-0000-000012050000}"/>
    <cellStyle name="Comma 9 10 3 2" xfId="3300" xr:uid="{AA1F8F50-E5E3-4AA4-ABA6-4D9DB143DEE1}"/>
    <cellStyle name="Comma 9 10 4" xfId="1274" xr:uid="{00000000-0005-0000-0000-000013050000}"/>
    <cellStyle name="Comma 9 10 4 2" xfId="3301" xr:uid="{0699CF8A-4F68-4D63-8710-50F3B43F1E84}"/>
    <cellStyle name="Comma 9 10 5" xfId="3298" xr:uid="{FF818F6C-D939-412F-940D-567A8195C49A}"/>
    <cellStyle name="Comma 9 11" xfId="1275" xr:uid="{00000000-0005-0000-0000-000014050000}"/>
    <cellStyle name="Comma 9 11 2" xfId="1276" xr:uid="{00000000-0005-0000-0000-000015050000}"/>
    <cellStyle name="Comma 9 11 2 2" xfId="3303" xr:uid="{44271D37-64E2-4743-AC46-D9A3A241B2DA}"/>
    <cellStyle name="Comma 9 11 3" xfId="1277" xr:uid="{00000000-0005-0000-0000-000016050000}"/>
    <cellStyle name="Comma 9 11 3 2" xfId="3304" xr:uid="{D2247F55-F902-47B8-A914-82A494EE7F60}"/>
    <cellStyle name="Comma 9 11 4" xfId="1278" xr:uid="{00000000-0005-0000-0000-000017050000}"/>
    <cellStyle name="Comma 9 11 4 2" xfId="3305" xr:uid="{9C96D113-C05D-4DDF-A9ED-DFA3BF370FD7}"/>
    <cellStyle name="Comma 9 11 5" xfId="3302" xr:uid="{5F101EA5-0EE9-4C47-BFD4-2FE26B0B4D99}"/>
    <cellStyle name="Comma 9 12" xfId="1279" xr:uid="{00000000-0005-0000-0000-000018050000}"/>
    <cellStyle name="Comma 9 12 2" xfId="1280" xr:uid="{00000000-0005-0000-0000-000019050000}"/>
    <cellStyle name="Comma 9 12 2 2" xfId="3307" xr:uid="{5D3A95FC-4A9C-43DD-9C78-0D7338BD7631}"/>
    <cellStyle name="Comma 9 12 3" xfId="1281" xr:uid="{00000000-0005-0000-0000-00001A050000}"/>
    <cellStyle name="Comma 9 12 3 2" xfId="3308" xr:uid="{49A6400B-117C-4E36-A3F1-0773E4B1F28B}"/>
    <cellStyle name="Comma 9 12 4" xfId="1282" xr:uid="{00000000-0005-0000-0000-00001B050000}"/>
    <cellStyle name="Comma 9 12 4 2" xfId="3309" xr:uid="{FE55278A-97AA-4EDB-9A67-FBF49AA978DE}"/>
    <cellStyle name="Comma 9 12 5" xfId="3306" xr:uid="{C655D9DD-EDCE-4833-93A3-027AD3671AD4}"/>
    <cellStyle name="Comma 9 13" xfId="1283" xr:uid="{00000000-0005-0000-0000-00001C050000}"/>
    <cellStyle name="Comma 9 13 2" xfId="1284" xr:uid="{00000000-0005-0000-0000-00001D050000}"/>
    <cellStyle name="Comma 9 13 2 2" xfId="3311" xr:uid="{0EB5BE56-FB5B-461C-86AE-20ED1EBA40BF}"/>
    <cellStyle name="Comma 9 13 3" xfId="1285" xr:uid="{00000000-0005-0000-0000-00001E050000}"/>
    <cellStyle name="Comma 9 13 3 2" xfId="3312" xr:uid="{FC4509A4-B2FF-441E-BC08-BC3E6264D77B}"/>
    <cellStyle name="Comma 9 13 4" xfId="1286" xr:uid="{00000000-0005-0000-0000-00001F050000}"/>
    <cellStyle name="Comma 9 13 4 2" xfId="3313" xr:uid="{69233E3A-BD5F-445B-8AAB-CF5418771DF8}"/>
    <cellStyle name="Comma 9 13 5" xfId="3310" xr:uid="{6242D6F0-0960-4E42-9ACB-75F13DFBCD62}"/>
    <cellStyle name="Comma 9 14" xfId="1287" xr:uid="{00000000-0005-0000-0000-000020050000}"/>
    <cellStyle name="Comma 9 14 2" xfId="1288" xr:uid="{00000000-0005-0000-0000-000021050000}"/>
    <cellStyle name="Comma 9 14 2 2" xfId="3315" xr:uid="{14789ADB-D221-4F10-BA47-F35FEC260550}"/>
    <cellStyle name="Comma 9 14 3" xfId="1289" xr:uid="{00000000-0005-0000-0000-000022050000}"/>
    <cellStyle name="Comma 9 14 3 2" xfId="3316" xr:uid="{0D3F521E-0E75-44F3-B89C-C32FF9F1A136}"/>
    <cellStyle name="Comma 9 14 4" xfId="1290" xr:uid="{00000000-0005-0000-0000-000023050000}"/>
    <cellStyle name="Comma 9 14 4 2" xfId="3317" xr:uid="{5A0853F2-4130-4B1A-B3B0-DCD67B2B5448}"/>
    <cellStyle name="Comma 9 14 5" xfId="3314" xr:uid="{EC9FE37F-8D0F-458C-BE7D-49F0F2B396FE}"/>
    <cellStyle name="Comma 9 15" xfId="1291" xr:uid="{00000000-0005-0000-0000-000024050000}"/>
    <cellStyle name="Comma 9 15 2" xfId="1292" xr:uid="{00000000-0005-0000-0000-000025050000}"/>
    <cellStyle name="Comma 9 15 2 2" xfId="3319" xr:uid="{13112F0B-000B-4EEB-AE25-DBF06ED245D9}"/>
    <cellStyle name="Comma 9 15 3" xfId="1293" xr:uid="{00000000-0005-0000-0000-000026050000}"/>
    <cellStyle name="Comma 9 15 3 2" xfId="3320" xr:uid="{38D25223-F995-4B3D-92F0-E386CD69BE13}"/>
    <cellStyle name="Comma 9 15 4" xfId="1294" xr:uid="{00000000-0005-0000-0000-000027050000}"/>
    <cellStyle name="Comma 9 15 4 2" xfId="3321" xr:uid="{BCD912DC-390F-40F0-B5A5-D69143ECE8D8}"/>
    <cellStyle name="Comma 9 15 5" xfId="3318" xr:uid="{0575AD10-33D6-4EF9-9B00-BE5052F08D44}"/>
    <cellStyle name="Comma 9 16" xfId="1295" xr:uid="{00000000-0005-0000-0000-000028050000}"/>
    <cellStyle name="Comma 9 16 2" xfId="1296" xr:uid="{00000000-0005-0000-0000-000029050000}"/>
    <cellStyle name="Comma 9 16 2 2" xfId="3323" xr:uid="{415E78F9-99E8-4ED3-AC4B-4961513077C5}"/>
    <cellStyle name="Comma 9 16 3" xfId="1297" xr:uid="{00000000-0005-0000-0000-00002A050000}"/>
    <cellStyle name="Comma 9 16 3 2" xfId="3324" xr:uid="{CCB69EB2-FC44-4364-80ED-CE76BEC96ABA}"/>
    <cellStyle name="Comma 9 16 4" xfId="1298" xr:uid="{00000000-0005-0000-0000-00002B050000}"/>
    <cellStyle name="Comma 9 16 4 2" xfId="3325" xr:uid="{00B67097-9218-4316-9E1E-10D92F21350D}"/>
    <cellStyle name="Comma 9 16 5" xfId="3322" xr:uid="{E83F6B6F-3860-4560-B164-F05EBEAEC184}"/>
    <cellStyle name="Comma 9 17" xfId="1299" xr:uid="{00000000-0005-0000-0000-00002C050000}"/>
    <cellStyle name="Comma 9 17 2" xfId="1300" xr:uid="{00000000-0005-0000-0000-00002D050000}"/>
    <cellStyle name="Comma 9 17 2 2" xfId="3327" xr:uid="{A0FE1D44-348E-4DFC-9F6B-75EDC5FDD400}"/>
    <cellStyle name="Comma 9 17 3" xfId="1301" xr:uid="{00000000-0005-0000-0000-00002E050000}"/>
    <cellStyle name="Comma 9 17 3 2" xfId="3328" xr:uid="{B69F8575-5531-4060-A8D7-04E225F16C9B}"/>
    <cellStyle name="Comma 9 17 4" xfId="1302" xr:uid="{00000000-0005-0000-0000-00002F050000}"/>
    <cellStyle name="Comma 9 17 4 2" xfId="3329" xr:uid="{B84B9C90-2A6A-4C4A-8D16-FF31F6A3ECDD}"/>
    <cellStyle name="Comma 9 17 5" xfId="3326" xr:uid="{5A043C66-AEFA-4D45-BB98-145E1BABFA92}"/>
    <cellStyle name="Comma 9 18" xfId="1303" xr:uid="{00000000-0005-0000-0000-000030050000}"/>
    <cellStyle name="Comma 9 18 2" xfId="1304" xr:uid="{00000000-0005-0000-0000-000031050000}"/>
    <cellStyle name="Comma 9 18 2 2" xfId="3331" xr:uid="{DE7FFDC9-98BA-4A5C-856A-27A0C2DEF921}"/>
    <cellStyle name="Comma 9 18 3" xfId="1305" xr:uid="{00000000-0005-0000-0000-000032050000}"/>
    <cellStyle name="Comma 9 18 3 2" xfId="3332" xr:uid="{D8B8C9BB-EA8E-40E9-AE79-3F95ACFDF81C}"/>
    <cellStyle name="Comma 9 18 4" xfId="1306" xr:uid="{00000000-0005-0000-0000-000033050000}"/>
    <cellStyle name="Comma 9 18 4 2" xfId="3333" xr:uid="{A7EF3CEF-7F3C-43A6-AF8B-3962D920B146}"/>
    <cellStyle name="Comma 9 18 5" xfId="3330" xr:uid="{8A8CD2CD-64BC-4679-8772-4995E07BDE79}"/>
    <cellStyle name="Comma 9 19" xfId="1307" xr:uid="{00000000-0005-0000-0000-000034050000}"/>
    <cellStyle name="Comma 9 19 2" xfId="1308" xr:uid="{00000000-0005-0000-0000-000035050000}"/>
    <cellStyle name="Comma 9 19 2 2" xfId="3335" xr:uid="{DFA76D75-B413-4225-9AD4-ECD609AC667C}"/>
    <cellStyle name="Comma 9 19 3" xfId="1309" xr:uid="{00000000-0005-0000-0000-000036050000}"/>
    <cellStyle name="Comma 9 19 3 2" xfId="3336" xr:uid="{7244DFFF-044C-46E4-9F86-5474CC02074C}"/>
    <cellStyle name="Comma 9 19 4" xfId="1310" xr:uid="{00000000-0005-0000-0000-000037050000}"/>
    <cellStyle name="Comma 9 19 4 2" xfId="3337" xr:uid="{F7F998B1-97AC-44D7-A81D-EF5F67C4A944}"/>
    <cellStyle name="Comma 9 19 5" xfId="3334" xr:uid="{8DCE1005-615B-4DCE-9981-CEEF98F313C3}"/>
    <cellStyle name="Comma 9 2" xfId="1311" xr:uid="{00000000-0005-0000-0000-000038050000}"/>
    <cellStyle name="Comma 9 2 2" xfId="1312" xr:uid="{00000000-0005-0000-0000-000039050000}"/>
    <cellStyle name="Comma 9 2 2 2" xfId="3339" xr:uid="{64F3B194-54A3-477B-B328-49180E77BF0E}"/>
    <cellStyle name="Comma 9 2 3" xfId="1313" xr:uid="{00000000-0005-0000-0000-00003A050000}"/>
    <cellStyle name="Comma 9 2 3 2" xfId="3340" xr:uid="{D6A87442-9860-46B9-9335-A5AFF5C8B17E}"/>
    <cellStyle name="Comma 9 2 4" xfId="1314" xr:uid="{00000000-0005-0000-0000-00003B050000}"/>
    <cellStyle name="Comma 9 2 4 2" xfId="3341" xr:uid="{D1D4F56C-369E-464C-AF5F-85F23A144DE3}"/>
    <cellStyle name="Comma 9 2 5" xfId="3338" xr:uid="{8DB47DA7-18DD-4628-B66E-8EA6E5E41C1F}"/>
    <cellStyle name="Comma 9 20" xfId="1315" xr:uid="{00000000-0005-0000-0000-00003C050000}"/>
    <cellStyle name="Comma 9 20 2" xfId="1316" xr:uid="{00000000-0005-0000-0000-00003D050000}"/>
    <cellStyle name="Comma 9 20 2 2" xfId="3343" xr:uid="{CB275CE2-EB21-4E73-91C7-DAD248833A9F}"/>
    <cellStyle name="Comma 9 20 3" xfId="1317" xr:uid="{00000000-0005-0000-0000-00003E050000}"/>
    <cellStyle name="Comma 9 20 3 2" xfId="3344" xr:uid="{7FD18C10-3513-473F-94FB-B2E76C8F2301}"/>
    <cellStyle name="Comma 9 20 4" xfId="1318" xr:uid="{00000000-0005-0000-0000-00003F050000}"/>
    <cellStyle name="Comma 9 20 4 2" xfId="3345" xr:uid="{C15B3BDF-54E7-42CF-88A7-C1AA0A48DD48}"/>
    <cellStyle name="Comma 9 20 5" xfId="3342" xr:uid="{333E30A2-4A8B-42AC-A293-957F6B8F6DA5}"/>
    <cellStyle name="Comma 9 21" xfId="1319" xr:uid="{00000000-0005-0000-0000-000040050000}"/>
    <cellStyle name="Comma 9 21 2" xfId="1320" xr:uid="{00000000-0005-0000-0000-000041050000}"/>
    <cellStyle name="Comma 9 21 2 2" xfId="3347" xr:uid="{BEDC33D1-0094-413D-ACB4-64C695D20910}"/>
    <cellStyle name="Comma 9 21 3" xfId="1321" xr:uid="{00000000-0005-0000-0000-000042050000}"/>
    <cellStyle name="Comma 9 21 3 2" xfId="3348" xr:uid="{4219C651-6DB9-4A88-A839-535A104EDEF1}"/>
    <cellStyle name="Comma 9 21 4" xfId="3346" xr:uid="{097284AB-9FE0-487F-A455-EC86BA32D94F}"/>
    <cellStyle name="Comma 9 22" xfId="1322" xr:uid="{00000000-0005-0000-0000-000043050000}"/>
    <cellStyle name="Comma 9 22 2" xfId="3349" xr:uid="{6C6DFE33-452F-43AA-AC10-4D3F9AE46C1E}"/>
    <cellStyle name="Comma 9 23" xfId="1323" xr:uid="{00000000-0005-0000-0000-000044050000}"/>
    <cellStyle name="Comma 9 23 2" xfId="3350" xr:uid="{DAB9F305-97A4-4738-9A2A-13C07BB536E9}"/>
    <cellStyle name="Comma 9 24" xfId="1324" xr:uid="{00000000-0005-0000-0000-000045050000}"/>
    <cellStyle name="Comma 9 24 2" xfId="3351" xr:uid="{DB4F6215-8B24-4A8E-8433-A15752FD3353}"/>
    <cellStyle name="Comma 9 3" xfId="1325" xr:uid="{00000000-0005-0000-0000-000046050000}"/>
    <cellStyle name="Comma 9 3 2" xfId="1326" xr:uid="{00000000-0005-0000-0000-000047050000}"/>
    <cellStyle name="Comma 9 3 2 2" xfId="3353" xr:uid="{850DCDC1-7C90-4E4C-9FEE-87586E784C64}"/>
    <cellStyle name="Comma 9 3 3" xfId="1327" xr:uid="{00000000-0005-0000-0000-000048050000}"/>
    <cellStyle name="Comma 9 3 3 2" xfId="3354" xr:uid="{8554AB0B-D592-4BAA-AB5E-062CAA6F1000}"/>
    <cellStyle name="Comma 9 3 4" xfId="1328" xr:uid="{00000000-0005-0000-0000-000049050000}"/>
    <cellStyle name="Comma 9 3 4 2" xfId="3355" xr:uid="{03E38F58-E1E0-4038-8FD7-20A75A509E42}"/>
    <cellStyle name="Comma 9 3 5" xfId="3352" xr:uid="{4C32E1F0-6BCD-441C-9145-1CE8D8BD592E}"/>
    <cellStyle name="Comma 9 4" xfId="1329" xr:uid="{00000000-0005-0000-0000-00004A050000}"/>
    <cellStyle name="Comma 9 4 2" xfId="1330" xr:uid="{00000000-0005-0000-0000-00004B050000}"/>
    <cellStyle name="Comma 9 4 2 2" xfId="3357" xr:uid="{B6E244A3-6EFA-418E-BCC5-29144376A10C}"/>
    <cellStyle name="Comma 9 4 3" xfId="1331" xr:uid="{00000000-0005-0000-0000-00004C050000}"/>
    <cellStyle name="Comma 9 4 3 2" xfId="3358" xr:uid="{6D5ED6E4-A9E8-4E14-AAFC-20C92EFF2ECF}"/>
    <cellStyle name="Comma 9 4 4" xfId="1332" xr:uid="{00000000-0005-0000-0000-00004D050000}"/>
    <cellStyle name="Comma 9 4 4 2" xfId="3359" xr:uid="{0AB77456-1CB8-4027-A2A4-A1354BFEAC15}"/>
    <cellStyle name="Comma 9 4 5" xfId="3356" xr:uid="{2FA90F91-582E-4B50-AF49-C4D5F529E516}"/>
    <cellStyle name="Comma 9 5" xfId="1333" xr:uid="{00000000-0005-0000-0000-00004E050000}"/>
    <cellStyle name="Comma 9 5 2" xfId="1334" xr:uid="{00000000-0005-0000-0000-00004F050000}"/>
    <cellStyle name="Comma 9 5 2 2" xfId="3361" xr:uid="{1B9DC66A-F428-4E2B-BE16-9BACBA5E397D}"/>
    <cellStyle name="Comma 9 5 3" xfId="1335" xr:uid="{00000000-0005-0000-0000-000050050000}"/>
    <cellStyle name="Comma 9 5 3 2" xfId="3362" xr:uid="{1ED2038A-D62D-46E1-AEB9-CC3CD236BBBF}"/>
    <cellStyle name="Comma 9 5 4" xfId="1336" xr:uid="{00000000-0005-0000-0000-000051050000}"/>
    <cellStyle name="Comma 9 5 4 2" xfId="3363" xr:uid="{A0935916-5FAC-4B3F-AF88-3AC768C3F966}"/>
    <cellStyle name="Comma 9 5 5" xfId="3360" xr:uid="{19C5AD26-49E1-4C0A-B353-BA552A30BC2C}"/>
    <cellStyle name="Comma 9 6" xfId="1337" xr:uid="{00000000-0005-0000-0000-000052050000}"/>
    <cellStyle name="Comma 9 6 2" xfId="1338" xr:uid="{00000000-0005-0000-0000-000053050000}"/>
    <cellStyle name="Comma 9 6 2 2" xfId="3365" xr:uid="{6612B2A3-7885-4842-8A7A-F0D02099169E}"/>
    <cellStyle name="Comma 9 6 3" xfId="1339" xr:uid="{00000000-0005-0000-0000-000054050000}"/>
    <cellStyle name="Comma 9 6 3 2" xfId="3366" xr:uid="{17323D7B-4645-4CC3-88F8-6C691E401F52}"/>
    <cellStyle name="Comma 9 6 4" xfId="1340" xr:uid="{00000000-0005-0000-0000-000055050000}"/>
    <cellStyle name="Comma 9 6 4 2" xfId="3367" xr:uid="{389D5F08-DFA8-4522-9B60-2429AACFAEB8}"/>
    <cellStyle name="Comma 9 6 5" xfId="3364" xr:uid="{A0EAA816-ACAC-4DA1-B6EC-10CE55FCC7F9}"/>
    <cellStyle name="Comma 9 7" xfId="1341" xr:uid="{00000000-0005-0000-0000-000056050000}"/>
    <cellStyle name="Comma 9 7 2" xfId="1342" xr:uid="{00000000-0005-0000-0000-000057050000}"/>
    <cellStyle name="Comma 9 7 2 2" xfId="3369" xr:uid="{431799C6-039D-4E85-B665-0A35E5C78517}"/>
    <cellStyle name="Comma 9 7 3" xfId="1343" xr:uid="{00000000-0005-0000-0000-000058050000}"/>
    <cellStyle name="Comma 9 7 3 2" xfId="3370" xr:uid="{6537B181-BB1F-45E5-A2FD-FEC21E357EC6}"/>
    <cellStyle name="Comma 9 7 4" xfId="1344" xr:uid="{00000000-0005-0000-0000-000059050000}"/>
    <cellStyle name="Comma 9 7 4 2" xfId="3371" xr:uid="{6EF27F19-5BB0-4251-AD2B-81FD5AE85F81}"/>
    <cellStyle name="Comma 9 7 5" xfId="3368" xr:uid="{A8CBC598-382C-4BFD-95EC-004E5C6D99CE}"/>
    <cellStyle name="Comma 9 8" xfId="1345" xr:uid="{00000000-0005-0000-0000-00005A050000}"/>
    <cellStyle name="Comma 9 8 2" xfId="1346" xr:uid="{00000000-0005-0000-0000-00005B050000}"/>
    <cellStyle name="Comma 9 8 2 2" xfId="3373" xr:uid="{15BB58CB-B0D8-40A0-8A13-26E5CC832416}"/>
    <cellStyle name="Comma 9 8 3" xfId="1347" xr:uid="{00000000-0005-0000-0000-00005C050000}"/>
    <cellStyle name="Comma 9 8 3 2" xfId="3374" xr:uid="{CD07A283-DCA6-4EBC-B1C6-BBEF8630527C}"/>
    <cellStyle name="Comma 9 8 4" xfId="1348" xr:uid="{00000000-0005-0000-0000-00005D050000}"/>
    <cellStyle name="Comma 9 8 4 2" xfId="3375" xr:uid="{A33FD05D-98B9-4F93-8FC6-E9A46FCC4084}"/>
    <cellStyle name="Comma 9 8 5" xfId="3372" xr:uid="{91921EC8-20AC-4234-92D1-2F3EDE3C0E3C}"/>
    <cellStyle name="Comma 9 9" xfId="1349" xr:uid="{00000000-0005-0000-0000-00005E050000}"/>
    <cellStyle name="Comma 9 9 2" xfId="1350" xr:uid="{00000000-0005-0000-0000-00005F050000}"/>
    <cellStyle name="Comma 9 9 2 2" xfId="3377" xr:uid="{3FC20968-B1EF-4582-9408-644B4426EA04}"/>
    <cellStyle name="Comma 9 9 3" xfId="1351" xr:uid="{00000000-0005-0000-0000-000060050000}"/>
    <cellStyle name="Comma 9 9 3 2" xfId="3378" xr:uid="{7C8A9F02-9C66-4A60-8941-8977FA9B3900}"/>
    <cellStyle name="Comma 9 9 4" xfId="1352" xr:uid="{00000000-0005-0000-0000-000061050000}"/>
    <cellStyle name="Comma 9 9 4 2" xfId="3379" xr:uid="{C89F5905-D280-441B-A334-23518EBB835A}"/>
    <cellStyle name="Comma 9 9 5" xfId="3376" xr:uid="{C1E71D2C-181F-4CB9-BA40-6569BA58355E}"/>
    <cellStyle name="Currency [0] 2" xfId="2641" xr:uid="{00000000-0005-0000-0000-000062050000}"/>
    <cellStyle name="Currency [0] 2 2" xfId="3975" xr:uid="{524A5381-AC06-4D8E-9DC4-AC4083E15678}"/>
    <cellStyle name="Currency 10" xfId="1353" xr:uid="{00000000-0005-0000-0000-000063050000}"/>
    <cellStyle name="Currency 10 2" xfId="1354" xr:uid="{00000000-0005-0000-0000-000064050000}"/>
    <cellStyle name="Currency 10 2 2" xfId="3381" xr:uid="{002F7B73-9F18-4212-82AA-BD10A67DFB5A}"/>
    <cellStyle name="Currency 10 3" xfId="1355" xr:uid="{00000000-0005-0000-0000-000065050000}"/>
    <cellStyle name="Currency 10 3 2" xfId="3382" xr:uid="{7FC53E76-9F2D-4EC3-BD6D-08BC891E84E5}"/>
    <cellStyle name="Currency 10 4" xfId="1356" xr:uid="{00000000-0005-0000-0000-000066050000}"/>
    <cellStyle name="Currency 10 4 2" xfId="3383" xr:uid="{0C135B69-B2F0-4559-85E0-EF83272E8A04}"/>
    <cellStyle name="Currency 10 5" xfId="3380" xr:uid="{FA9FE6BB-0A47-4048-874B-5B785617072B}"/>
    <cellStyle name="Currency 11" xfId="1357" xr:uid="{00000000-0005-0000-0000-000067050000}"/>
    <cellStyle name="Currency 11 2" xfId="1358" xr:uid="{00000000-0005-0000-0000-000068050000}"/>
    <cellStyle name="Currency 11 2 2" xfId="3385" xr:uid="{CE674911-06E0-4621-83C3-51B996A07916}"/>
    <cellStyle name="Currency 11 3" xfId="1359" xr:uid="{00000000-0005-0000-0000-000069050000}"/>
    <cellStyle name="Currency 11 3 2" xfId="3386" xr:uid="{916F104E-5268-493E-AEEF-FF6F7C390249}"/>
    <cellStyle name="Currency 11 4" xfId="1360" xr:uid="{00000000-0005-0000-0000-00006A050000}"/>
    <cellStyle name="Currency 11 4 2" xfId="3387" xr:uid="{1EEECAC5-F412-4DBB-82A5-B6B45AC37934}"/>
    <cellStyle name="Currency 11 5" xfId="3384" xr:uid="{2865D34A-0121-4384-BF2F-FCCD4FB8C265}"/>
    <cellStyle name="Currency 12" xfId="1361" xr:uid="{00000000-0005-0000-0000-00006B050000}"/>
    <cellStyle name="Currency 12 2" xfId="1362" xr:uid="{00000000-0005-0000-0000-00006C050000}"/>
    <cellStyle name="Currency 12 2 2" xfId="3389" xr:uid="{884EA680-DC15-440D-8887-3B2FCBA92883}"/>
    <cellStyle name="Currency 12 3" xfId="1363" xr:uid="{00000000-0005-0000-0000-00006D050000}"/>
    <cellStyle name="Currency 12 3 2" xfId="3390" xr:uid="{0BECD328-F5F6-441A-B6E0-F5AFC32C3AC3}"/>
    <cellStyle name="Currency 12 4" xfId="1364" xr:uid="{00000000-0005-0000-0000-00006E050000}"/>
    <cellStyle name="Currency 12 4 2" xfId="3391" xr:uid="{2615F962-0AE6-4F9E-A77B-358F8FB1463B}"/>
    <cellStyle name="Currency 12 5" xfId="3388" xr:uid="{7FC8D44F-8AE3-4116-B01B-E1AFD460DA90}"/>
    <cellStyle name="Currency 13" xfId="1365" xr:uid="{00000000-0005-0000-0000-00006F050000}"/>
    <cellStyle name="Currency 13 2" xfId="1366" xr:uid="{00000000-0005-0000-0000-000070050000}"/>
    <cellStyle name="Currency 13 2 2" xfId="3393" xr:uid="{A6238A17-5F6A-4E6E-873B-56458D69F61A}"/>
    <cellStyle name="Currency 13 3" xfId="1367" xr:uid="{00000000-0005-0000-0000-000071050000}"/>
    <cellStyle name="Currency 13 3 2" xfId="3394" xr:uid="{81B8CE3E-E1F5-4345-A483-3B9601310541}"/>
    <cellStyle name="Currency 13 4" xfId="1368" xr:uid="{00000000-0005-0000-0000-000072050000}"/>
    <cellStyle name="Currency 13 4 2" xfId="3395" xr:uid="{948F1205-218E-4A2B-8269-BA3E31028130}"/>
    <cellStyle name="Currency 13 5" xfId="3392" xr:uid="{D0FD4A9B-567D-47F0-B856-7C2418B7B4A0}"/>
    <cellStyle name="Currency 14" xfId="1369" xr:uid="{00000000-0005-0000-0000-000073050000}"/>
    <cellStyle name="Currency 14 2" xfId="1370" xr:uid="{00000000-0005-0000-0000-000074050000}"/>
    <cellStyle name="Currency 14 2 2" xfId="3397" xr:uid="{83F4B628-A161-433C-868E-36C352AA3DC9}"/>
    <cellStyle name="Currency 14 3" xfId="1371" xr:uid="{00000000-0005-0000-0000-000075050000}"/>
    <cellStyle name="Currency 14 3 2" xfId="3398" xr:uid="{40D412E6-06D9-4AFE-B653-8FD3B4B9959B}"/>
    <cellStyle name="Currency 14 4" xfId="1372" xr:uid="{00000000-0005-0000-0000-000076050000}"/>
    <cellStyle name="Currency 14 4 2" xfId="3399" xr:uid="{E202587B-5E97-42ED-A910-66445497CACC}"/>
    <cellStyle name="Currency 14 5" xfId="3396" xr:uid="{102D0A95-4C2C-470A-AEF4-F584FC869CAA}"/>
    <cellStyle name="Currency 15" xfId="1373" xr:uid="{00000000-0005-0000-0000-000077050000}"/>
    <cellStyle name="Currency 15 2" xfId="1374" xr:uid="{00000000-0005-0000-0000-000078050000}"/>
    <cellStyle name="Currency 15 2 2" xfId="3401" xr:uid="{5EFD9021-65CB-47E2-90AE-E12526B06D9A}"/>
    <cellStyle name="Currency 15 3" xfId="1375" xr:uid="{00000000-0005-0000-0000-000079050000}"/>
    <cellStyle name="Currency 15 3 2" xfId="3402" xr:uid="{F7084EBD-37C4-46C3-9050-CD03194A8CA7}"/>
    <cellStyle name="Currency 15 4" xfId="1376" xr:uid="{00000000-0005-0000-0000-00007A050000}"/>
    <cellStyle name="Currency 15 4 2" xfId="3403" xr:uid="{4E814DFC-4918-4E67-8D6F-552D1CB77727}"/>
    <cellStyle name="Currency 15 5" xfId="3400" xr:uid="{4453C66C-F9DB-46C6-8236-19065690C795}"/>
    <cellStyle name="Currency 16" xfId="1377" xr:uid="{00000000-0005-0000-0000-00007B050000}"/>
    <cellStyle name="Currency 16 2" xfId="1378" xr:uid="{00000000-0005-0000-0000-00007C050000}"/>
    <cellStyle name="Currency 16 2 2" xfId="3405" xr:uid="{8B9AE6F4-6F2C-48EB-B3F6-04BB838CD543}"/>
    <cellStyle name="Currency 16 3" xfId="1379" xr:uid="{00000000-0005-0000-0000-00007D050000}"/>
    <cellStyle name="Currency 16 3 2" xfId="3406" xr:uid="{DEBB8A0C-E5F9-424C-B80F-43F90F006B20}"/>
    <cellStyle name="Currency 16 4" xfId="1380" xr:uid="{00000000-0005-0000-0000-00007E050000}"/>
    <cellStyle name="Currency 16 4 2" xfId="3407" xr:uid="{32E4C4C8-8230-414B-B512-A3EC638853C5}"/>
    <cellStyle name="Currency 16 5" xfId="3404" xr:uid="{EE341BFF-A5D1-410A-992B-0A785A6BDCE0}"/>
    <cellStyle name="Currency 17" xfId="1381" xr:uid="{00000000-0005-0000-0000-00007F050000}"/>
    <cellStyle name="Currency 17 2" xfId="1382" xr:uid="{00000000-0005-0000-0000-000080050000}"/>
    <cellStyle name="Currency 17 2 2" xfId="3409" xr:uid="{B2E07D68-D745-4CA8-8450-006E9193189F}"/>
    <cellStyle name="Currency 17 3" xfId="1383" xr:uid="{00000000-0005-0000-0000-000081050000}"/>
    <cellStyle name="Currency 17 3 2" xfId="3410" xr:uid="{EF62BEC7-FBFE-4576-AD60-9965C9C3E709}"/>
    <cellStyle name="Currency 17 4" xfId="1384" xr:uid="{00000000-0005-0000-0000-000082050000}"/>
    <cellStyle name="Currency 17 4 2" xfId="3411" xr:uid="{BE592B75-B1BE-4D15-9775-D9A4B303261C}"/>
    <cellStyle name="Currency 17 5" xfId="3408" xr:uid="{2FF892DF-41E4-4C53-B74F-8F3F2A883B70}"/>
    <cellStyle name="Currency 18" xfId="1385" xr:uid="{00000000-0005-0000-0000-000083050000}"/>
    <cellStyle name="Currency 18 2" xfId="1386" xr:uid="{00000000-0005-0000-0000-000084050000}"/>
    <cellStyle name="Currency 18 2 2" xfId="3413" xr:uid="{8C866A0F-32EA-4B20-ABD0-4B209434373A}"/>
    <cellStyle name="Currency 18 3" xfId="1387" xr:uid="{00000000-0005-0000-0000-000085050000}"/>
    <cellStyle name="Currency 18 3 2" xfId="3414" xr:uid="{03EB6A0A-72E8-4FE2-ADF6-C4678E518B7E}"/>
    <cellStyle name="Currency 18 4" xfId="1388" xr:uid="{00000000-0005-0000-0000-000086050000}"/>
    <cellStyle name="Currency 18 4 2" xfId="3415" xr:uid="{8F9DB578-41BD-463C-9944-3F452E5A3E86}"/>
    <cellStyle name="Currency 18 5" xfId="3412" xr:uid="{6FF38F7B-E657-444E-9FBB-91A14C77F817}"/>
    <cellStyle name="Currency 19" xfId="1389" xr:uid="{00000000-0005-0000-0000-000087050000}"/>
    <cellStyle name="Currency 19 2" xfId="1390" xr:uid="{00000000-0005-0000-0000-000088050000}"/>
    <cellStyle name="Currency 19 2 2" xfId="3417" xr:uid="{8FD57263-57DC-4771-B68D-C1FE9F019572}"/>
    <cellStyle name="Currency 19 3" xfId="1391" xr:uid="{00000000-0005-0000-0000-000089050000}"/>
    <cellStyle name="Currency 19 3 2" xfId="3418" xr:uid="{0549DF76-1FA6-4410-B723-5C894E12EA8E}"/>
    <cellStyle name="Currency 19 4" xfId="1392" xr:uid="{00000000-0005-0000-0000-00008A050000}"/>
    <cellStyle name="Currency 19 4 2" xfId="3419" xr:uid="{BBE6BDBB-F5DF-409C-BA5F-5A6E48ABA05C}"/>
    <cellStyle name="Currency 19 5" xfId="3416" xr:uid="{4B5F0466-C07E-42DE-857E-D7DA0482CD53}"/>
    <cellStyle name="Currency 2" xfId="1393" xr:uid="{00000000-0005-0000-0000-00008B050000}"/>
    <cellStyle name="Currency 2 2" xfId="2633" xr:uid="{00000000-0005-0000-0000-00008C050000}"/>
    <cellStyle name="Currency 2 2 2" xfId="3972" xr:uid="{B7658B11-B497-46CD-8DD0-45FC73A6ED6D}"/>
    <cellStyle name="Currency 2 3" xfId="3983" xr:uid="{AAC4DAEF-F611-42B9-80D6-3EFEE3795065}"/>
    <cellStyle name="Currency 2 4" xfId="3420" xr:uid="{7A17C93E-8F6A-4502-8A1E-627731A2CE57}"/>
    <cellStyle name="Currency 20" xfId="1394" xr:uid="{00000000-0005-0000-0000-00008D050000}"/>
    <cellStyle name="Currency 20 2" xfId="1395" xr:uid="{00000000-0005-0000-0000-00008E050000}"/>
    <cellStyle name="Currency 20 2 2" xfId="3422" xr:uid="{579A282B-6564-4BF1-8F73-4337CE7CA1EA}"/>
    <cellStyle name="Currency 20 3" xfId="1396" xr:uid="{00000000-0005-0000-0000-00008F050000}"/>
    <cellStyle name="Currency 20 3 2" xfId="3423" xr:uid="{A5481C29-75E4-4C26-8AE3-34A23A5110F2}"/>
    <cellStyle name="Currency 20 4" xfId="1397" xr:uid="{00000000-0005-0000-0000-000090050000}"/>
    <cellStyle name="Currency 20 4 2" xfId="3424" xr:uid="{0A3556AC-82CA-44E9-836A-9245DD2BDC1A}"/>
    <cellStyle name="Currency 20 5" xfId="3421" xr:uid="{E1C8639E-9072-44F9-BF6E-FEE67E0500A0}"/>
    <cellStyle name="Currency 21" xfId="1398" xr:uid="{00000000-0005-0000-0000-000091050000}"/>
    <cellStyle name="Currency 21 2" xfId="1399" xr:uid="{00000000-0005-0000-0000-000092050000}"/>
    <cellStyle name="Currency 21 2 2" xfId="3426" xr:uid="{7DE8599C-22EA-44D8-B316-60760161F267}"/>
    <cellStyle name="Currency 21 3" xfId="1400" xr:uid="{00000000-0005-0000-0000-000093050000}"/>
    <cellStyle name="Currency 21 3 2" xfId="3427" xr:uid="{994163D6-6224-4E67-91F7-999B9E285B80}"/>
    <cellStyle name="Currency 21 4" xfId="1401" xr:uid="{00000000-0005-0000-0000-000094050000}"/>
    <cellStyle name="Currency 21 4 2" xfId="3428" xr:uid="{0FBFAE09-2B10-4CF7-AE4E-234C68A707E7}"/>
    <cellStyle name="Currency 21 5" xfId="3425" xr:uid="{5E58BC02-1ADF-4177-B614-B6AFC354D1A8}"/>
    <cellStyle name="Currency 22" xfId="1402" xr:uid="{00000000-0005-0000-0000-000095050000}"/>
    <cellStyle name="Currency 22 2" xfId="1403" xr:uid="{00000000-0005-0000-0000-000096050000}"/>
    <cellStyle name="Currency 22 2 2" xfId="3430" xr:uid="{74EB1522-0EDB-4325-A4E7-27889EB89370}"/>
    <cellStyle name="Currency 22 3" xfId="1404" xr:uid="{00000000-0005-0000-0000-000097050000}"/>
    <cellStyle name="Currency 22 3 2" xfId="3431" xr:uid="{76826C3A-EFA3-4728-B3B2-7A9F599F3F25}"/>
    <cellStyle name="Currency 22 4" xfId="1405" xr:uid="{00000000-0005-0000-0000-000098050000}"/>
    <cellStyle name="Currency 22 4 2" xfId="3432" xr:uid="{74993030-EC2C-4B76-9693-911229426795}"/>
    <cellStyle name="Currency 22 5" xfId="3429" xr:uid="{F4B01CAC-9EBB-491E-A6D1-D44B50CC6DF1}"/>
    <cellStyle name="Currency 23" xfId="1406" xr:uid="{00000000-0005-0000-0000-000099050000}"/>
    <cellStyle name="Currency 23 2" xfId="1407" xr:uid="{00000000-0005-0000-0000-00009A050000}"/>
    <cellStyle name="Currency 23 2 2" xfId="3434" xr:uid="{AFAB57DF-594D-422E-971F-49E031663361}"/>
    <cellStyle name="Currency 23 3" xfId="1408" xr:uid="{00000000-0005-0000-0000-00009B050000}"/>
    <cellStyle name="Currency 23 3 2" xfId="3435" xr:uid="{010976CA-5E8A-4C69-88B6-90C0E335A78D}"/>
    <cellStyle name="Currency 23 4" xfId="1409" xr:uid="{00000000-0005-0000-0000-00009C050000}"/>
    <cellStyle name="Currency 23 4 2" xfId="3436" xr:uid="{D0FBA1D1-2566-4DC7-A57F-538B63EC39E4}"/>
    <cellStyle name="Currency 23 5" xfId="3433" xr:uid="{3D2CA4EA-6671-4EF3-9DD3-8320170CB314}"/>
    <cellStyle name="Currency 24" xfId="1410" xr:uid="{00000000-0005-0000-0000-00009D050000}"/>
    <cellStyle name="Currency 24 2" xfId="1411" xr:uid="{00000000-0005-0000-0000-00009E050000}"/>
    <cellStyle name="Currency 24 2 2" xfId="3438" xr:uid="{B9D77F06-C5EC-4E9F-A179-27D23C2CB208}"/>
    <cellStyle name="Currency 24 3" xfId="1412" xr:uid="{00000000-0005-0000-0000-00009F050000}"/>
    <cellStyle name="Currency 24 3 2" xfId="3439" xr:uid="{32346D0E-8C74-4F7D-90A5-27149CC33BC1}"/>
    <cellStyle name="Currency 24 4" xfId="1413" xr:uid="{00000000-0005-0000-0000-0000A0050000}"/>
    <cellStyle name="Currency 24 4 2" xfId="3440" xr:uid="{4ECBB28C-53E3-4D2B-97E9-A35B429B2293}"/>
    <cellStyle name="Currency 24 5" xfId="3437" xr:uid="{C61E5EB4-97E3-412B-A305-5A190A6F4E0C}"/>
    <cellStyle name="Currency 25" xfId="1414" xr:uid="{00000000-0005-0000-0000-0000A1050000}"/>
    <cellStyle name="Currency 25 2" xfId="1415" xr:uid="{00000000-0005-0000-0000-0000A2050000}"/>
    <cellStyle name="Currency 25 2 2" xfId="3442" xr:uid="{07BF2AC6-A9A8-48AA-8F26-7CD81A372A5C}"/>
    <cellStyle name="Currency 25 3" xfId="1416" xr:uid="{00000000-0005-0000-0000-0000A3050000}"/>
    <cellStyle name="Currency 25 3 2" xfId="3443" xr:uid="{2FEDE9C8-75A8-47C4-99D8-768005B3D672}"/>
    <cellStyle name="Currency 25 4" xfId="1417" xr:uid="{00000000-0005-0000-0000-0000A4050000}"/>
    <cellStyle name="Currency 25 4 2" xfId="3444" xr:uid="{56ED0826-2355-44A2-BACA-BAAB1F887381}"/>
    <cellStyle name="Currency 25 5" xfId="3441" xr:uid="{C99859AE-EBF2-44AA-B540-9C8DC575C3E0}"/>
    <cellStyle name="Currency 26" xfId="1418" xr:uid="{00000000-0005-0000-0000-0000A5050000}"/>
    <cellStyle name="Currency 26 2" xfId="1419" xr:uid="{00000000-0005-0000-0000-0000A6050000}"/>
    <cellStyle name="Currency 26 2 2" xfId="3446" xr:uid="{26BEE4B8-78DC-48B7-B07B-EE4B5A38FCDB}"/>
    <cellStyle name="Currency 26 3" xfId="1420" xr:uid="{00000000-0005-0000-0000-0000A7050000}"/>
    <cellStyle name="Currency 26 3 2" xfId="3447" xr:uid="{E28EA9AE-DCFD-4E68-9606-1F8FDC507C02}"/>
    <cellStyle name="Currency 26 4" xfId="1421" xr:uid="{00000000-0005-0000-0000-0000A8050000}"/>
    <cellStyle name="Currency 26 4 2" xfId="3448" xr:uid="{8067FFC1-312C-4420-BD84-3C01DECBB607}"/>
    <cellStyle name="Currency 26 5" xfId="3445" xr:uid="{40703B79-5E16-410E-AB0D-1ECA2D36D499}"/>
    <cellStyle name="Currency 27" xfId="1422" xr:uid="{00000000-0005-0000-0000-0000A9050000}"/>
    <cellStyle name="Currency 27 2" xfId="1423" xr:uid="{00000000-0005-0000-0000-0000AA050000}"/>
    <cellStyle name="Currency 27 2 2" xfId="3450" xr:uid="{E1A38688-6066-43D7-9363-A7CD7032849D}"/>
    <cellStyle name="Currency 27 3" xfId="1424" xr:uid="{00000000-0005-0000-0000-0000AB050000}"/>
    <cellStyle name="Currency 27 3 2" xfId="3451" xr:uid="{F30153F3-AF4C-47E2-8418-5671CAD94C85}"/>
    <cellStyle name="Currency 27 4" xfId="1425" xr:uid="{00000000-0005-0000-0000-0000AC050000}"/>
    <cellStyle name="Currency 27 4 2" xfId="3452" xr:uid="{BFCC936B-CC4F-4C38-B48C-F77CC3DDE471}"/>
    <cellStyle name="Currency 27 5" xfId="3449" xr:uid="{F107C389-DA08-4162-8002-2AF6136F9EC0}"/>
    <cellStyle name="Currency 28" xfId="1426" xr:uid="{00000000-0005-0000-0000-0000AD050000}"/>
    <cellStyle name="Currency 28 2" xfId="3453" xr:uid="{CC9E48CF-0236-488D-A663-2C3EE97CE37E}"/>
    <cellStyle name="Currency 29" xfId="1427" xr:uid="{00000000-0005-0000-0000-0000AE050000}"/>
    <cellStyle name="Currency 29 2" xfId="3454" xr:uid="{86E97213-30C6-43F3-A734-8E66ED612581}"/>
    <cellStyle name="Currency 3" xfId="1428" xr:uid="{00000000-0005-0000-0000-0000AF050000}"/>
    <cellStyle name="Currency 3 10" xfId="1429" xr:uid="{00000000-0005-0000-0000-0000B0050000}"/>
    <cellStyle name="Currency 3 10 2" xfId="1430" xr:uid="{00000000-0005-0000-0000-0000B1050000}"/>
    <cellStyle name="Currency 3 10 2 2" xfId="3457" xr:uid="{FCBF3B9B-C951-441D-B6F8-64EA8195976B}"/>
    <cellStyle name="Currency 3 10 3" xfId="1431" xr:uid="{00000000-0005-0000-0000-0000B2050000}"/>
    <cellStyle name="Currency 3 10 3 2" xfId="3458" xr:uid="{71EC469C-04AD-482F-889B-7D2538B951A8}"/>
    <cellStyle name="Currency 3 10 4" xfId="1432" xr:uid="{00000000-0005-0000-0000-0000B3050000}"/>
    <cellStyle name="Currency 3 10 4 2" xfId="3459" xr:uid="{B7C98305-5340-4765-8E3E-95D343CF4574}"/>
    <cellStyle name="Currency 3 10 5" xfId="3456" xr:uid="{2C3008E5-8916-43FB-AEE5-0744439AA23E}"/>
    <cellStyle name="Currency 3 11" xfId="1433" xr:uid="{00000000-0005-0000-0000-0000B4050000}"/>
    <cellStyle name="Currency 3 11 2" xfId="1434" xr:uid="{00000000-0005-0000-0000-0000B5050000}"/>
    <cellStyle name="Currency 3 11 2 2" xfId="3461" xr:uid="{0CBF10D5-69E1-47A8-BE42-161820A0EFAE}"/>
    <cellStyle name="Currency 3 11 3" xfId="1435" xr:uid="{00000000-0005-0000-0000-0000B6050000}"/>
    <cellStyle name="Currency 3 11 3 2" xfId="3462" xr:uid="{FF158C04-E1C5-4CCB-9822-39E02337D169}"/>
    <cellStyle name="Currency 3 11 4" xfId="1436" xr:uid="{00000000-0005-0000-0000-0000B7050000}"/>
    <cellStyle name="Currency 3 11 4 2" xfId="3463" xr:uid="{23CF0381-8A9F-418E-9BD5-4F6835E28931}"/>
    <cellStyle name="Currency 3 11 5" xfId="3460" xr:uid="{4DFEC48F-E99B-44B9-8741-351CE44124A4}"/>
    <cellStyle name="Currency 3 12" xfId="1437" xr:uid="{00000000-0005-0000-0000-0000B8050000}"/>
    <cellStyle name="Currency 3 12 2" xfId="1438" xr:uid="{00000000-0005-0000-0000-0000B9050000}"/>
    <cellStyle name="Currency 3 12 2 2" xfId="3465" xr:uid="{B549A656-84F7-4A7F-97AA-CA1785127783}"/>
    <cellStyle name="Currency 3 12 3" xfId="1439" xr:uid="{00000000-0005-0000-0000-0000BA050000}"/>
    <cellStyle name="Currency 3 12 3 2" xfId="3466" xr:uid="{1B15DF20-1326-4B1E-B500-A6D2B0CE0265}"/>
    <cellStyle name="Currency 3 12 4" xfId="1440" xr:uid="{00000000-0005-0000-0000-0000BB050000}"/>
    <cellStyle name="Currency 3 12 4 2" xfId="3467" xr:uid="{E5C9BECF-54F0-46F3-9D8E-952C5776C1A3}"/>
    <cellStyle name="Currency 3 12 5" xfId="3464" xr:uid="{B48E80B6-24EC-4766-9C96-917051A90B32}"/>
    <cellStyle name="Currency 3 13" xfId="1441" xr:uid="{00000000-0005-0000-0000-0000BC050000}"/>
    <cellStyle name="Currency 3 13 2" xfId="1442" xr:uid="{00000000-0005-0000-0000-0000BD050000}"/>
    <cellStyle name="Currency 3 13 2 2" xfId="3469" xr:uid="{9DE269ED-3A7A-4C98-9C32-D6F5F07D49C9}"/>
    <cellStyle name="Currency 3 13 3" xfId="1443" xr:uid="{00000000-0005-0000-0000-0000BE050000}"/>
    <cellStyle name="Currency 3 13 3 2" xfId="3470" xr:uid="{1A0D935B-6967-47CD-BBDF-E6BE539010B1}"/>
    <cellStyle name="Currency 3 13 4" xfId="1444" xr:uid="{00000000-0005-0000-0000-0000BF050000}"/>
    <cellStyle name="Currency 3 13 4 2" xfId="3471" xr:uid="{50BB34FD-1EC4-4845-92CD-45D4E6833E8F}"/>
    <cellStyle name="Currency 3 13 5" xfId="3468" xr:uid="{5FEB1B2B-D9AF-4D12-A7C2-EF14B34600F8}"/>
    <cellStyle name="Currency 3 14" xfId="1445" xr:uid="{00000000-0005-0000-0000-0000C0050000}"/>
    <cellStyle name="Currency 3 14 2" xfId="1446" xr:uid="{00000000-0005-0000-0000-0000C1050000}"/>
    <cellStyle name="Currency 3 14 2 2" xfId="3473" xr:uid="{C0F76AC2-D5C8-4727-9B1B-A101BD6E3011}"/>
    <cellStyle name="Currency 3 14 3" xfId="1447" xr:uid="{00000000-0005-0000-0000-0000C2050000}"/>
    <cellStyle name="Currency 3 14 3 2" xfId="3474" xr:uid="{3CD5B863-5248-47A8-81CA-664E8F4D403A}"/>
    <cellStyle name="Currency 3 14 4" xfId="1448" xr:uid="{00000000-0005-0000-0000-0000C3050000}"/>
    <cellStyle name="Currency 3 14 4 2" xfId="3475" xr:uid="{96865F2A-1890-4A12-849F-46B18B8021E0}"/>
    <cellStyle name="Currency 3 14 5" xfId="3472" xr:uid="{C91D8CCB-5549-42A4-9055-FD3E5DC442BA}"/>
    <cellStyle name="Currency 3 15" xfId="1449" xr:uid="{00000000-0005-0000-0000-0000C4050000}"/>
    <cellStyle name="Currency 3 15 2" xfId="1450" xr:uid="{00000000-0005-0000-0000-0000C5050000}"/>
    <cellStyle name="Currency 3 15 2 2" xfId="3477" xr:uid="{0E9C90CE-9B7F-49CE-A0FC-DE06905CFFA6}"/>
    <cellStyle name="Currency 3 15 3" xfId="1451" xr:uid="{00000000-0005-0000-0000-0000C6050000}"/>
    <cellStyle name="Currency 3 15 3 2" xfId="3478" xr:uid="{828A74E1-5899-4928-B2F6-83154DC658A6}"/>
    <cellStyle name="Currency 3 15 4" xfId="1452" xr:uid="{00000000-0005-0000-0000-0000C7050000}"/>
    <cellStyle name="Currency 3 15 4 2" xfId="3479" xr:uid="{D57D89B6-8768-43B6-A34D-AF425AA016E4}"/>
    <cellStyle name="Currency 3 15 5" xfId="3476" xr:uid="{2B7E6906-5E1A-441D-885D-68D7FF82C15B}"/>
    <cellStyle name="Currency 3 16" xfId="1453" xr:uid="{00000000-0005-0000-0000-0000C8050000}"/>
    <cellStyle name="Currency 3 16 2" xfId="1454" xr:uid="{00000000-0005-0000-0000-0000C9050000}"/>
    <cellStyle name="Currency 3 16 2 2" xfId="3481" xr:uid="{5A481463-08BF-40DF-B529-0C766F0D215D}"/>
    <cellStyle name="Currency 3 16 3" xfId="1455" xr:uid="{00000000-0005-0000-0000-0000CA050000}"/>
    <cellStyle name="Currency 3 16 3 2" xfId="3482" xr:uid="{13D6930A-5B40-435B-B166-92C56069B8EC}"/>
    <cellStyle name="Currency 3 16 4" xfId="1456" xr:uid="{00000000-0005-0000-0000-0000CB050000}"/>
    <cellStyle name="Currency 3 16 4 2" xfId="3483" xr:uid="{9F0D10B7-1F25-4E3C-8236-F34038FBF709}"/>
    <cellStyle name="Currency 3 16 5" xfId="3480" xr:uid="{CD9F2521-A962-4EF5-B241-041EB22319E5}"/>
    <cellStyle name="Currency 3 17" xfId="1457" xr:uid="{00000000-0005-0000-0000-0000CC050000}"/>
    <cellStyle name="Currency 3 17 2" xfId="1458" xr:uid="{00000000-0005-0000-0000-0000CD050000}"/>
    <cellStyle name="Currency 3 17 2 2" xfId="3485" xr:uid="{F89E18A0-6D12-4167-B27B-BF2446D17ABD}"/>
    <cellStyle name="Currency 3 17 3" xfId="1459" xr:uid="{00000000-0005-0000-0000-0000CE050000}"/>
    <cellStyle name="Currency 3 17 3 2" xfId="3486" xr:uid="{7EC7F0E7-B3BC-403A-950E-819520969392}"/>
    <cellStyle name="Currency 3 17 4" xfId="1460" xr:uid="{00000000-0005-0000-0000-0000CF050000}"/>
    <cellStyle name="Currency 3 17 4 2" xfId="3487" xr:uid="{181659F8-E650-4C3C-920D-30206B592FA8}"/>
    <cellStyle name="Currency 3 17 5" xfId="3484" xr:uid="{AB5DA6D4-8FBE-45C1-9022-81D6CA43C085}"/>
    <cellStyle name="Currency 3 18" xfId="1461" xr:uid="{00000000-0005-0000-0000-0000D0050000}"/>
    <cellStyle name="Currency 3 18 2" xfId="1462" xr:uid="{00000000-0005-0000-0000-0000D1050000}"/>
    <cellStyle name="Currency 3 18 2 2" xfId="3489" xr:uid="{79BAC7CE-7D53-4197-9F30-7AAEEE692E6D}"/>
    <cellStyle name="Currency 3 18 3" xfId="1463" xr:uid="{00000000-0005-0000-0000-0000D2050000}"/>
    <cellStyle name="Currency 3 18 3 2" xfId="3490" xr:uid="{E6531FDF-ADA6-48A4-9341-7B1E9196C331}"/>
    <cellStyle name="Currency 3 18 4" xfId="1464" xr:uid="{00000000-0005-0000-0000-0000D3050000}"/>
    <cellStyle name="Currency 3 18 4 2" xfId="3491" xr:uid="{57CDE21D-B3D0-44C1-B16B-3E02AB53BC37}"/>
    <cellStyle name="Currency 3 18 5" xfId="3488" xr:uid="{671A7D4A-6ABE-4F4A-BD33-C22C64BD6C63}"/>
    <cellStyle name="Currency 3 19" xfId="1465" xr:uid="{00000000-0005-0000-0000-0000D4050000}"/>
    <cellStyle name="Currency 3 19 2" xfId="1466" xr:uid="{00000000-0005-0000-0000-0000D5050000}"/>
    <cellStyle name="Currency 3 19 2 2" xfId="3493" xr:uid="{04FC0D37-CEA8-494C-ABE2-FD37F01E9862}"/>
    <cellStyle name="Currency 3 19 3" xfId="1467" xr:uid="{00000000-0005-0000-0000-0000D6050000}"/>
    <cellStyle name="Currency 3 19 3 2" xfId="3494" xr:uid="{B877FC0F-EAEF-465D-9B33-ADF446EF7188}"/>
    <cellStyle name="Currency 3 19 4" xfId="1468" xr:uid="{00000000-0005-0000-0000-0000D7050000}"/>
    <cellStyle name="Currency 3 19 4 2" xfId="3495" xr:uid="{59E7E7BE-96BA-4804-B992-6FF12A2834B0}"/>
    <cellStyle name="Currency 3 19 5" xfId="3492" xr:uid="{95BA8987-B753-4BBC-9AA6-CB5F0C4BDC83}"/>
    <cellStyle name="Currency 3 2" xfId="1469" xr:uid="{00000000-0005-0000-0000-0000D8050000}"/>
    <cellStyle name="Currency 3 2 2" xfId="1470" xr:uid="{00000000-0005-0000-0000-0000D9050000}"/>
    <cellStyle name="Currency 3 2 2 2" xfId="3497" xr:uid="{0844B260-AC1E-404F-8809-BB84EC34D1D9}"/>
    <cellStyle name="Currency 3 2 3" xfId="1471" xr:uid="{00000000-0005-0000-0000-0000DA050000}"/>
    <cellStyle name="Currency 3 2 3 2" xfId="3498" xr:uid="{45892470-9D0A-4782-B823-3D0EE2AAA5CF}"/>
    <cellStyle name="Currency 3 2 4" xfId="1472" xr:uid="{00000000-0005-0000-0000-0000DB050000}"/>
    <cellStyle name="Currency 3 2 4 2" xfId="3499" xr:uid="{2F8D51EC-7509-4903-B952-62286A7C1B04}"/>
    <cellStyle name="Currency 3 2 5" xfId="3496" xr:uid="{2C880239-0614-4C98-B1CF-76E24279F22C}"/>
    <cellStyle name="Currency 3 20" xfId="1473" xr:uid="{00000000-0005-0000-0000-0000DC050000}"/>
    <cellStyle name="Currency 3 20 2" xfId="1474" xr:uid="{00000000-0005-0000-0000-0000DD050000}"/>
    <cellStyle name="Currency 3 20 2 2" xfId="3501" xr:uid="{91A0F2D3-0E04-4C23-B140-6D2467C33D6B}"/>
    <cellStyle name="Currency 3 20 3" xfId="1475" xr:uid="{00000000-0005-0000-0000-0000DE050000}"/>
    <cellStyle name="Currency 3 20 3 2" xfId="3502" xr:uid="{8A9F43B0-108C-45ED-8116-D96D39067104}"/>
    <cellStyle name="Currency 3 20 4" xfId="1476" xr:uid="{00000000-0005-0000-0000-0000DF050000}"/>
    <cellStyle name="Currency 3 20 4 2" xfId="3503" xr:uid="{3E6C4863-BF8F-4EBB-856E-0A56C456AA57}"/>
    <cellStyle name="Currency 3 20 5" xfId="3500" xr:uid="{2C505BB4-2481-4E86-BA30-7F6CFF105012}"/>
    <cellStyle name="Currency 3 21" xfId="1477" xr:uid="{00000000-0005-0000-0000-0000E0050000}"/>
    <cellStyle name="Currency 3 21 2" xfId="1478" xr:uid="{00000000-0005-0000-0000-0000E1050000}"/>
    <cellStyle name="Currency 3 21 2 2" xfId="3505" xr:uid="{A7E19920-C00E-4197-8B27-FF7F7C9B80DD}"/>
    <cellStyle name="Currency 3 21 3" xfId="1479" xr:uid="{00000000-0005-0000-0000-0000E2050000}"/>
    <cellStyle name="Currency 3 21 3 2" xfId="3506" xr:uid="{678C513A-8A13-4894-ABF8-3D0F43497BDB}"/>
    <cellStyle name="Currency 3 21 4" xfId="1480" xr:uid="{00000000-0005-0000-0000-0000E3050000}"/>
    <cellStyle name="Currency 3 21 4 2" xfId="3507" xr:uid="{F2CAE8E4-1007-4CBC-9FAA-C7BB43F2DBF8}"/>
    <cellStyle name="Currency 3 21 5" xfId="3504" xr:uid="{8B4355C1-C827-4E1D-968D-CDBF242E91E2}"/>
    <cellStyle name="Currency 3 22" xfId="1481" xr:uid="{00000000-0005-0000-0000-0000E4050000}"/>
    <cellStyle name="Currency 3 22 2" xfId="3508" xr:uid="{21896551-8691-4B0E-9C52-58236B95CD39}"/>
    <cellStyle name="Currency 3 23" xfId="1482" xr:uid="{00000000-0005-0000-0000-0000E5050000}"/>
    <cellStyle name="Currency 3 23 2" xfId="3509" xr:uid="{6E9B508C-DE2E-47A0-9401-B1CAD640F64F}"/>
    <cellStyle name="Currency 3 24" xfId="1483" xr:uid="{00000000-0005-0000-0000-0000E6050000}"/>
    <cellStyle name="Currency 3 24 2" xfId="3510" xr:uid="{C8BE0957-7B0B-431A-A1AE-906CBBD1F605}"/>
    <cellStyle name="Currency 3 25" xfId="3455" xr:uid="{539A866E-EAF5-4D8A-9AB0-70D59BAB16E0}"/>
    <cellStyle name="Currency 3 3" xfId="1484" xr:uid="{00000000-0005-0000-0000-0000E7050000}"/>
    <cellStyle name="Currency 3 3 2" xfId="1485" xr:uid="{00000000-0005-0000-0000-0000E8050000}"/>
    <cellStyle name="Currency 3 3 2 2" xfId="3512" xr:uid="{B4F24462-B374-44EB-BD30-09FA67FB8F27}"/>
    <cellStyle name="Currency 3 3 3" xfId="1486" xr:uid="{00000000-0005-0000-0000-0000E9050000}"/>
    <cellStyle name="Currency 3 3 3 2" xfId="3513" xr:uid="{9616074F-D183-4656-9490-3FA2AE2EB921}"/>
    <cellStyle name="Currency 3 3 4" xfId="1487" xr:uid="{00000000-0005-0000-0000-0000EA050000}"/>
    <cellStyle name="Currency 3 3 4 2" xfId="3514" xr:uid="{3C5FDBD6-8371-4E68-85C7-96AA24029E87}"/>
    <cellStyle name="Currency 3 3 5" xfId="3511" xr:uid="{742CAA70-6101-4D13-95F8-88F6488494CF}"/>
    <cellStyle name="Currency 3 4" xfId="1488" xr:uid="{00000000-0005-0000-0000-0000EB050000}"/>
    <cellStyle name="Currency 3 4 2" xfId="1489" xr:uid="{00000000-0005-0000-0000-0000EC050000}"/>
    <cellStyle name="Currency 3 4 2 2" xfId="3516" xr:uid="{E425D5B9-663A-4181-9718-15EC3E88ED13}"/>
    <cellStyle name="Currency 3 4 3" xfId="1490" xr:uid="{00000000-0005-0000-0000-0000ED050000}"/>
    <cellStyle name="Currency 3 4 3 2" xfId="3517" xr:uid="{C5621216-4522-4C8B-BE72-2F7025E43C55}"/>
    <cellStyle name="Currency 3 4 4" xfId="1491" xr:uid="{00000000-0005-0000-0000-0000EE050000}"/>
    <cellStyle name="Currency 3 4 4 2" xfId="3518" xr:uid="{1F7FA4C0-9DE7-4BB2-97E9-9D73FB81EAA6}"/>
    <cellStyle name="Currency 3 4 5" xfId="3515" xr:uid="{290DEB16-40EB-48B9-BABF-887A99C6962D}"/>
    <cellStyle name="Currency 3 5" xfId="1492" xr:uid="{00000000-0005-0000-0000-0000EF050000}"/>
    <cellStyle name="Currency 3 5 2" xfId="1493" xr:uid="{00000000-0005-0000-0000-0000F0050000}"/>
    <cellStyle name="Currency 3 5 2 2" xfId="3520" xr:uid="{18CBB072-24F9-496E-B9F1-C982667C1489}"/>
    <cellStyle name="Currency 3 5 3" xfId="1494" xr:uid="{00000000-0005-0000-0000-0000F1050000}"/>
    <cellStyle name="Currency 3 5 3 2" xfId="3521" xr:uid="{377B3A60-4CBF-4264-ABE4-5695AA1316AC}"/>
    <cellStyle name="Currency 3 5 4" xfId="1495" xr:uid="{00000000-0005-0000-0000-0000F2050000}"/>
    <cellStyle name="Currency 3 5 4 2" xfId="3522" xr:uid="{6D8F232E-080E-4807-94EB-0C6B831B79DC}"/>
    <cellStyle name="Currency 3 5 5" xfId="3519" xr:uid="{F772B6D1-9D6D-4CB9-BB0C-AE4E40928974}"/>
    <cellStyle name="Currency 3 6" xfId="1496" xr:uid="{00000000-0005-0000-0000-0000F3050000}"/>
    <cellStyle name="Currency 3 6 2" xfId="1497" xr:uid="{00000000-0005-0000-0000-0000F4050000}"/>
    <cellStyle name="Currency 3 6 2 2" xfId="3524" xr:uid="{D43126B2-5628-4B9F-9C03-F2D7DB1C7E14}"/>
    <cellStyle name="Currency 3 6 3" xfId="1498" xr:uid="{00000000-0005-0000-0000-0000F5050000}"/>
    <cellStyle name="Currency 3 6 3 2" xfId="3525" xr:uid="{60A6B70F-309F-4F3B-8F79-63861BA5D5A8}"/>
    <cellStyle name="Currency 3 6 4" xfId="1499" xr:uid="{00000000-0005-0000-0000-0000F6050000}"/>
    <cellStyle name="Currency 3 6 4 2" xfId="3526" xr:uid="{7832C629-FA6E-4889-8238-699489C043D0}"/>
    <cellStyle name="Currency 3 6 5" xfId="3523" xr:uid="{1A50E928-CECC-45A1-B5D3-1BDDA648FBFC}"/>
    <cellStyle name="Currency 3 7" xfId="1500" xr:uid="{00000000-0005-0000-0000-0000F7050000}"/>
    <cellStyle name="Currency 3 7 2" xfId="1501" xr:uid="{00000000-0005-0000-0000-0000F8050000}"/>
    <cellStyle name="Currency 3 7 2 2" xfId="3528" xr:uid="{B0019176-3791-49FA-B0D7-5ECCC1248594}"/>
    <cellStyle name="Currency 3 7 3" xfId="1502" xr:uid="{00000000-0005-0000-0000-0000F9050000}"/>
    <cellStyle name="Currency 3 7 3 2" xfId="3529" xr:uid="{6F48F73F-6F1E-4EC7-B395-30345651946C}"/>
    <cellStyle name="Currency 3 7 4" xfId="1503" xr:uid="{00000000-0005-0000-0000-0000FA050000}"/>
    <cellStyle name="Currency 3 7 4 2" xfId="3530" xr:uid="{E11C4A54-385F-4836-9300-4668D7012887}"/>
    <cellStyle name="Currency 3 7 5" xfId="3527" xr:uid="{492D696D-1BE3-490F-82E8-1AA2F1B6CA2F}"/>
    <cellStyle name="Currency 3 8" xfId="1504" xr:uid="{00000000-0005-0000-0000-0000FB050000}"/>
    <cellStyle name="Currency 3 8 2" xfId="1505" xr:uid="{00000000-0005-0000-0000-0000FC050000}"/>
    <cellStyle name="Currency 3 8 2 2" xfId="3532" xr:uid="{8DEB3CF3-9A4A-4146-AFE6-2B234948E075}"/>
    <cellStyle name="Currency 3 8 3" xfId="1506" xr:uid="{00000000-0005-0000-0000-0000FD050000}"/>
    <cellStyle name="Currency 3 8 3 2" xfId="3533" xr:uid="{C8B3B4AC-D61F-4930-9879-8984F53D9EA8}"/>
    <cellStyle name="Currency 3 8 4" xfId="1507" xr:uid="{00000000-0005-0000-0000-0000FE050000}"/>
    <cellStyle name="Currency 3 8 4 2" xfId="3534" xr:uid="{EB89B7BB-C62C-4DFD-BDE7-58C654989477}"/>
    <cellStyle name="Currency 3 8 5" xfId="3531" xr:uid="{8759395E-FD66-4F88-B5C3-70B6F556AF2F}"/>
    <cellStyle name="Currency 3 9" xfId="1508" xr:uid="{00000000-0005-0000-0000-0000FF050000}"/>
    <cellStyle name="Currency 3 9 2" xfId="1509" xr:uid="{00000000-0005-0000-0000-000000060000}"/>
    <cellStyle name="Currency 3 9 2 2" xfId="3536" xr:uid="{9B500639-E549-496F-AE6C-6888725277DE}"/>
    <cellStyle name="Currency 3 9 3" xfId="1510" xr:uid="{00000000-0005-0000-0000-000001060000}"/>
    <cellStyle name="Currency 3 9 3 2" xfId="3537" xr:uid="{325CE167-FF9B-4EA8-B21F-824A64770CB7}"/>
    <cellStyle name="Currency 3 9 4" xfId="1511" xr:uid="{00000000-0005-0000-0000-000002060000}"/>
    <cellStyle name="Currency 3 9 4 2" xfId="3538" xr:uid="{5FADD6EA-29D8-469B-8FA2-C1B1A58901AC}"/>
    <cellStyle name="Currency 3 9 5" xfId="3535" xr:uid="{54B1686D-9583-4368-A075-B616A8AF2B46}"/>
    <cellStyle name="Currency 30" xfId="1512" xr:uid="{00000000-0005-0000-0000-000003060000}"/>
    <cellStyle name="Currency 30 2" xfId="3539" xr:uid="{67C184DD-DAA3-4C36-8545-2DBD92A0254A}"/>
    <cellStyle name="Currency 31" xfId="2625" xr:uid="{00000000-0005-0000-0000-000004060000}"/>
    <cellStyle name="Currency 31 2" xfId="3970" xr:uid="{2EF7D538-EB49-4127-85DC-F2B34F9218B2}"/>
    <cellStyle name="Currency 32" xfId="2618" xr:uid="{00000000-0005-0000-0000-000005060000}"/>
    <cellStyle name="Currency 32 2" xfId="3967" xr:uid="{C694CAA2-5BDB-45C1-B543-1B90FAF717EC}"/>
    <cellStyle name="Currency 33" xfId="2643" xr:uid="{00000000-0005-0000-0000-000006060000}"/>
    <cellStyle name="Currency 33 2" xfId="3976" xr:uid="{36BB49E2-DF07-4478-A0C9-5A19B4DAF3C8}"/>
    <cellStyle name="Currency 34" xfId="2635" xr:uid="{00000000-0005-0000-0000-000007060000}"/>
    <cellStyle name="Currency 34 2" xfId="3973" xr:uid="{64C83632-B92F-4844-ACCD-32CE4C85F46A}"/>
    <cellStyle name="Currency 35" xfId="2651" xr:uid="{00000000-0005-0000-0000-000008060000}"/>
    <cellStyle name="Currency 35 2" xfId="3979" xr:uid="{62902530-6223-4E52-99C6-2941549F2460}"/>
    <cellStyle name="Currency 36" xfId="2655" xr:uid="{00000000-0005-0000-0000-000009060000}"/>
    <cellStyle name="Currency 36 2" xfId="3981" xr:uid="{C104927E-22AA-4777-B01D-77A3F0DA89D3}"/>
    <cellStyle name="Currency 37" xfId="12" xr:uid="{00000000-0005-0000-0000-00000A060000}"/>
    <cellStyle name="Currency 37 2" xfId="3982" xr:uid="{F3B6F3A0-2F0C-4984-8741-1C13098523C9}"/>
    <cellStyle name="Currency 38" xfId="3985" xr:uid="{57310123-2041-46C8-AFC8-0A9ED4CBF353}"/>
    <cellStyle name="Currency 39" xfId="2656" xr:uid="{57CDB92B-6745-403F-8506-06A8561B27C8}"/>
    <cellStyle name="Currency 4" xfId="1513" xr:uid="{00000000-0005-0000-0000-00000B060000}"/>
    <cellStyle name="Currency 4 10" xfId="1514" xr:uid="{00000000-0005-0000-0000-00000C060000}"/>
    <cellStyle name="Currency 4 10 2" xfId="1515" xr:uid="{00000000-0005-0000-0000-00000D060000}"/>
    <cellStyle name="Currency 4 10 2 2" xfId="3542" xr:uid="{C6F3171C-D54A-4B3B-8B0F-127B06F7AE46}"/>
    <cellStyle name="Currency 4 10 3" xfId="1516" xr:uid="{00000000-0005-0000-0000-00000E060000}"/>
    <cellStyle name="Currency 4 10 3 2" xfId="3543" xr:uid="{56DFBB89-15ED-4F5B-91F2-C0540AD3F366}"/>
    <cellStyle name="Currency 4 10 4" xfId="1517" xr:uid="{00000000-0005-0000-0000-00000F060000}"/>
    <cellStyle name="Currency 4 10 4 2" xfId="3544" xr:uid="{4B05FA44-B4D0-4308-8CC6-26B14CAFB582}"/>
    <cellStyle name="Currency 4 10 5" xfId="3541" xr:uid="{B9A300DD-F17C-4813-9268-1FD56B40C448}"/>
    <cellStyle name="Currency 4 11" xfId="1518" xr:uid="{00000000-0005-0000-0000-000010060000}"/>
    <cellStyle name="Currency 4 11 2" xfId="1519" xr:uid="{00000000-0005-0000-0000-000011060000}"/>
    <cellStyle name="Currency 4 11 2 2" xfId="3546" xr:uid="{F76D9E8C-1D58-4E31-8CF1-81FC81AF4E8D}"/>
    <cellStyle name="Currency 4 11 3" xfId="1520" xr:uid="{00000000-0005-0000-0000-000012060000}"/>
    <cellStyle name="Currency 4 11 3 2" xfId="3547" xr:uid="{9300405C-FE85-457B-96A9-229CBAAFB450}"/>
    <cellStyle name="Currency 4 11 4" xfId="1521" xr:uid="{00000000-0005-0000-0000-000013060000}"/>
    <cellStyle name="Currency 4 11 4 2" xfId="3548" xr:uid="{920E96BD-4AC8-4FD2-908D-0BF1EB98D300}"/>
    <cellStyle name="Currency 4 11 5" xfId="3545" xr:uid="{E8C5DED5-0B64-4905-BE8B-2D1ED7EA1250}"/>
    <cellStyle name="Currency 4 12" xfId="1522" xr:uid="{00000000-0005-0000-0000-000014060000}"/>
    <cellStyle name="Currency 4 12 2" xfId="1523" xr:uid="{00000000-0005-0000-0000-000015060000}"/>
    <cellStyle name="Currency 4 12 2 2" xfId="3550" xr:uid="{1887323B-D2A5-4450-8D04-CE674E390F32}"/>
    <cellStyle name="Currency 4 12 3" xfId="1524" xr:uid="{00000000-0005-0000-0000-000016060000}"/>
    <cellStyle name="Currency 4 12 3 2" xfId="3551" xr:uid="{2021F4F9-FBDA-4C60-92BF-BFBFD8C3684C}"/>
    <cellStyle name="Currency 4 12 4" xfId="1525" xr:uid="{00000000-0005-0000-0000-000017060000}"/>
    <cellStyle name="Currency 4 12 4 2" xfId="3552" xr:uid="{ABB9067A-A020-41A7-A464-A966824D96B9}"/>
    <cellStyle name="Currency 4 12 5" xfId="3549" xr:uid="{D7425ED4-D328-44A1-A66C-D8DE7041FB4B}"/>
    <cellStyle name="Currency 4 13" xfId="1526" xr:uid="{00000000-0005-0000-0000-000018060000}"/>
    <cellStyle name="Currency 4 13 2" xfId="1527" xr:uid="{00000000-0005-0000-0000-000019060000}"/>
    <cellStyle name="Currency 4 13 2 2" xfId="3554" xr:uid="{55C9CFD8-80EE-4437-9BFF-F72E210D6853}"/>
    <cellStyle name="Currency 4 13 3" xfId="1528" xr:uid="{00000000-0005-0000-0000-00001A060000}"/>
    <cellStyle name="Currency 4 13 3 2" xfId="3555" xr:uid="{E29FB68A-949D-4E53-96F1-7751C1DBA7A8}"/>
    <cellStyle name="Currency 4 13 4" xfId="1529" xr:uid="{00000000-0005-0000-0000-00001B060000}"/>
    <cellStyle name="Currency 4 13 4 2" xfId="3556" xr:uid="{52C2B2DB-8460-41F5-B2E8-844F4AF4D90C}"/>
    <cellStyle name="Currency 4 13 5" xfId="3553" xr:uid="{3A39C954-B844-41EF-97E8-EAC65284EA52}"/>
    <cellStyle name="Currency 4 14" xfId="1530" xr:uid="{00000000-0005-0000-0000-00001C060000}"/>
    <cellStyle name="Currency 4 14 2" xfId="1531" xr:uid="{00000000-0005-0000-0000-00001D060000}"/>
    <cellStyle name="Currency 4 14 2 2" xfId="3558" xr:uid="{B177939A-2ACD-4200-A7C7-BC7EEE500138}"/>
    <cellStyle name="Currency 4 14 3" xfId="1532" xr:uid="{00000000-0005-0000-0000-00001E060000}"/>
    <cellStyle name="Currency 4 14 3 2" xfId="3559" xr:uid="{65000385-0AE7-4E50-8EC9-E3D48FF47BDA}"/>
    <cellStyle name="Currency 4 14 4" xfId="1533" xr:uid="{00000000-0005-0000-0000-00001F060000}"/>
    <cellStyle name="Currency 4 14 4 2" xfId="3560" xr:uid="{7CB1A12B-FF99-4841-B29B-D04F965DC033}"/>
    <cellStyle name="Currency 4 14 5" xfId="3557" xr:uid="{102D9C4A-D184-4106-B101-28DACEC48A3B}"/>
    <cellStyle name="Currency 4 15" xfId="1534" xr:uid="{00000000-0005-0000-0000-000020060000}"/>
    <cellStyle name="Currency 4 15 2" xfId="1535" xr:uid="{00000000-0005-0000-0000-000021060000}"/>
    <cellStyle name="Currency 4 15 2 2" xfId="3562" xr:uid="{4277DC85-AF7E-48EE-BD94-A74A908A5BAD}"/>
    <cellStyle name="Currency 4 15 3" xfId="1536" xr:uid="{00000000-0005-0000-0000-000022060000}"/>
    <cellStyle name="Currency 4 15 3 2" xfId="3563" xr:uid="{0ACD2491-1482-45E5-9BEA-366B352EEB93}"/>
    <cellStyle name="Currency 4 15 4" xfId="1537" xr:uid="{00000000-0005-0000-0000-000023060000}"/>
    <cellStyle name="Currency 4 15 4 2" xfId="3564" xr:uid="{9D8F4567-4EB3-4D6B-BAA5-79BA02CED46F}"/>
    <cellStyle name="Currency 4 15 5" xfId="3561" xr:uid="{E7D5B1CA-4F7D-4FAF-B693-EAA3E0A8C0E8}"/>
    <cellStyle name="Currency 4 16" xfId="1538" xr:uid="{00000000-0005-0000-0000-000024060000}"/>
    <cellStyle name="Currency 4 16 2" xfId="1539" xr:uid="{00000000-0005-0000-0000-000025060000}"/>
    <cellStyle name="Currency 4 16 2 2" xfId="3566" xr:uid="{8C269192-B4C8-4EFB-A5EE-B70CE7703108}"/>
    <cellStyle name="Currency 4 16 3" xfId="1540" xr:uid="{00000000-0005-0000-0000-000026060000}"/>
    <cellStyle name="Currency 4 16 3 2" xfId="3567" xr:uid="{9795DF8C-4266-41C7-B4A0-9FAB66133542}"/>
    <cellStyle name="Currency 4 16 4" xfId="1541" xr:uid="{00000000-0005-0000-0000-000027060000}"/>
    <cellStyle name="Currency 4 16 4 2" xfId="3568" xr:uid="{0C784618-A720-43B9-8A36-B759E26CA63B}"/>
    <cellStyle name="Currency 4 16 5" xfId="3565" xr:uid="{A859FC45-050A-4AD5-85F8-986C08C6BA16}"/>
    <cellStyle name="Currency 4 17" xfId="1542" xr:uid="{00000000-0005-0000-0000-000028060000}"/>
    <cellStyle name="Currency 4 17 2" xfId="1543" xr:uid="{00000000-0005-0000-0000-000029060000}"/>
    <cellStyle name="Currency 4 17 2 2" xfId="3570" xr:uid="{86CEEC22-96B8-47CD-8B63-FEA36E93FBFC}"/>
    <cellStyle name="Currency 4 17 3" xfId="1544" xr:uid="{00000000-0005-0000-0000-00002A060000}"/>
    <cellStyle name="Currency 4 17 3 2" xfId="3571" xr:uid="{B05C16A0-3996-409B-B6CD-E941B890277B}"/>
    <cellStyle name="Currency 4 17 4" xfId="1545" xr:uid="{00000000-0005-0000-0000-00002B060000}"/>
    <cellStyle name="Currency 4 17 4 2" xfId="3572" xr:uid="{254A1350-CC3B-4B34-A77C-05545FCCC125}"/>
    <cellStyle name="Currency 4 17 5" xfId="3569" xr:uid="{5A9E05F6-877B-43B0-B0D9-DF75586F674E}"/>
    <cellStyle name="Currency 4 18" xfId="1546" xr:uid="{00000000-0005-0000-0000-00002C060000}"/>
    <cellStyle name="Currency 4 18 2" xfId="1547" xr:uid="{00000000-0005-0000-0000-00002D060000}"/>
    <cellStyle name="Currency 4 18 2 2" xfId="3574" xr:uid="{238EC08F-A08D-42B1-96CC-89751876B499}"/>
    <cellStyle name="Currency 4 18 3" xfId="1548" xr:uid="{00000000-0005-0000-0000-00002E060000}"/>
    <cellStyle name="Currency 4 18 3 2" xfId="3575" xr:uid="{10AA0969-6E4B-4FA1-9CAA-706362137DBF}"/>
    <cellStyle name="Currency 4 18 4" xfId="1549" xr:uid="{00000000-0005-0000-0000-00002F060000}"/>
    <cellStyle name="Currency 4 18 4 2" xfId="3576" xr:uid="{EEF8311B-0847-4D00-AE2D-1B99EBA88699}"/>
    <cellStyle name="Currency 4 18 5" xfId="3573" xr:uid="{8C133D5B-005A-4017-B60B-22A2C823AFE7}"/>
    <cellStyle name="Currency 4 19" xfId="1550" xr:uid="{00000000-0005-0000-0000-000030060000}"/>
    <cellStyle name="Currency 4 19 2" xfId="1551" xr:uid="{00000000-0005-0000-0000-000031060000}"/>
    <cellStyle name="Currency 4 19 2 2" xfId="3578" xr:uid="{F290C393-8297-4AD7-85CC-0B06F11F5C26}"/>
    <cellStyle name="Currency 4 19 3" xfId="1552" xr:uid="{00000000-0005-0000-0000-000032060000}"/>
    <cellStyle name="Currency 4 19 3 2" xfId="3579" xr:uid="{6E880218-C6B3-4C81-87D5-D0649D86E08E}"/>
    <cellStyle name="Currency 4 19 4" xfId="1553" xr:uid="{00000000-0005-0000-0000-000033060000}"/>
    <cellStyle name="Currency 4 19 4 2" xfId="3580" xr:uid="{13346002-E26B-4463-958F-A577A14A9E7D}"/>
    <cellStyle name="Currency 4 19 5" xfId="3577" xr:uid="{2010AAD0-EDFF-4B40-935A-17CE10B6C9C6}"/>
    <cellStyle name="Currency 4 2" xfId="1554" xr:uid="{00000000-0005-0000-0000-000034060000}"/>
    <cellStyle name="Currency 4 2 2" xfId="1555" xr:uid="{00000000-0005-0000-0000-000035060000}"/>
    <cellStyle name="Currency 4 2 2 2" xfId="3582" xr:uid="{E675575D-E648-42FF-A534-9E4C8DC99CAA}"/>
    <cellStyle name="Currency 4 2 3" xfId="1556" xr:uid="{00000000-0005-0000-0000-000036060000}"/>
    <cellStyle name="Currency 4 2 3 2" xfId="3583" xr:uid="{8AF442C0-F5B2-4844-9AA2-A101D2BC0016}"/>
    <cellStyle name="Currency 4 2 4" xfId="1557" xr:uid="{00000000-0005-0000-0000-000037060000}"/>
    <cellStyle name="Currency 4 2 4 2" xfId="3584" xr:uid="{8EDDD5A9-10A3-473E-9871-F1419D299A58}"/>
    <cellStyle name="Currency 4 2 5" xfId="3581" xr:uid="{AD455E1A-F976-4D3C-9C53-81C46B66906A}"/>
    <cellStyle name="Currency 4 20" xfId="1558" xr:uid="{00000000-0005-0000-0000-000038060000}"/>
    <cellStyle name="Currency 4 20 2" xfId="1559" xr:uid="{00000000-0005-0000-0000-000039060000}"/>
    <cellStyle name="Currency 4 20 2 2" xfId="3586" xr:uid="{37ECC5F8-9005-41BC-9D33-3F8C77EA9AF7}"/>
    <cellStyle name="Currency 4 20 3" xfId="1560" xr:uid="{00000000-0005-0000-0000-00003A060000}"/>
    <cellStyle name="Currency 4 20 3 2" xfId="3587" xr:uid="{7C2D3BF5-E047-4B6B-B14E-9D457221632F}"/>
    <cellStyle name="Currency 4 20 4" xfId="1561" xr:uid="{00000000-0005-0000-0000-00003B060000}"/>
    <cellStyle name="Currency 4 20 4 2" xfId="3588" xr:uid="{A352E80A-7C61-49E3-9B43-862A39E5168B}"/>
    <cellStyle name="Currency 4 20 5" xfId="3585" xr:uid="{05483E1C-AB5D-428D-9E91-DA6138BC8975}"/>
    <cellStyle name="Currency 4 21" xfId="1562" xr:uid="{00000000-0005-0000-0000-00003C060000}"/>
    <cellStyle name="Currency 4 21 2" xfId="1563" xr:uid="{00000000-0005-0000-0000-00003D060000}"/>
    <cellStyle name="Currency 4 21 2 2" xfId="3590" xr:uid="{785CAD11-2E3E-44E2-9FC6-383B6E0BE328}"/>
    <cellStyle name="Currency 4 21 3" xfId="1564" xr:uid="{00000000-0005-0000-0000-00003E060000}"/>
    <cellStyle name="Currency 4 21 3 2" xfId="3591" xr:uid="{553A16ED-77FB-45B7-A4FE-1597C877A634}"/>
    <cellStyle name="Currency 4 21 4" xfId="1565" xr:uid="{00000000-0005-0000-0000-00003F060000}"/>
    <cellStyle name="Currency 4 21 4 2" xfId="3592" xr:uid="{4FB57207-450D-4576-A062-CC26E9DBF337}"/>
    <cellStyle name="Currency 4 21 5" xfId="3589" xr:uid="{FDF92A9B-1524-494B-A144-64A1862D5918}"/>
    <cellStyle name="Currency 4 22" xfId="1566" xr:uid="{00000000-0005-0000-0000-000040060000}"/>
    <cellStyle name="Currency 4 22 2" xfId="3593" xr:uid="{505B48CB-4D68-49E8-BFB2-D006A323A0EC}"/>
    <cellStyle name="Currency 4 23" xfId="1567" xr:uid="{00000000-0005-0000-0000-000041060000}"/>
    <cellStyle name="Currency 4 23 2" xfId="3594" xr:uid="{75A952CE-144B-49B1-A8ED-131C2A647AAF}"/>
    <cellStyle name="Currency 4 24" xfId="1568" xr:uid="{00000000-0005-0000-0000-000042060000}"/>
    <cellStyle name="Currency 4 24 2" xfId="3595" xr:uid="{A2642A7A-E066-477D-A2C0-5A676481F962}"/>
    <cellStyle name="Currency 4 25" xfId="3540" xr:uid="{09B5E3D4-A744-4225-B78F-6222BF377185}"/>
    <cellStyle name="Currency 4 3" xfId="1569" xr:uid="{00000000-0005-0000-0000-000043060000}"/>
    <cellStyle name="Currency 4 3 2" xfId="1570" xr:uid="{00000000-0005-0000-0000-000044060000}"/>
    <cellStyle name="Currency 4 3 2 2" xfId="3597" xr:uid="{699BB789-2719-4C9A-A23D-D62AB3E552D6}"/>
    <cellStyle name="Currency 4 3 3" xfId="1571" xr:uid="{00000000-0005-0000-0000-000045060000}"/>
    <cellStyle name="Currency 4 3 3 2" xfId="3598" xr:uid="{3AC09FCC-7DB6-4F3A-8532-3C970B2AC8A5}"/>
    <cellStyle name="Currency 4 3 4" xfId="1572" xr:uid="{00000000-0005-0000-0000-000046060000}"/>
    <cellStyle name="Currency 4 3 4 2" xfId="3599" xr:uid="{66636A18-1DB0-4853-A643-D29F42D6EBBE}"/>
    <cellStyle name="Currency 4 3 5" xfId="3596" xr:uid="{04096B8D-11B7-4479-8FF9-2D8012C90E57}"/>
    <cellStyle name="Currency 4 4" xfId="1573" xr:uid="{00000000-0005-0000-0000-000047060000}"/>
    <cellStyle name="Currency 4 4 2" xfId="1574" xr:uid="{00000000-0005-0000-0000-000048060000}"/>
    <cellStyle name="Currency 4 4 2 2" xfId="3601" xr:uid="{53AE4F88-2F6D-43D8-9B6A-F7040017B335}"/>
    <cellStyle name="Currency 4 4 3" xfId="1575" xr:uid="{00000000-0005-0000-0000-000049060000}"/>
    <cellStyle name="Currency 4 4 3 2" xfId="3602" xr:uid="{2E3EADBB-F63F-4A83-8B3A-9A33521C4E63}"/>
    <cellStyle name="Currency 4 4 4" xfId="1576" xr:uid="{00000000-0005-0000-0000-00004A060000}"/>
    <cellStyle name="Currency 4 4 4 2" xfId="3603" xr:uid="{45375878-1955-4AB8-BF2D-10D77B470745}"/>
    <cellStyle name="Currency 4 4 5" xfId="3600" xr:uid="{E269FC53-483D-4F96-B9A3-2724806F461D}"/>
    <cellStyle name="Currency 4 5" xfId="1577" xr:uid="{00000000-0005-0000-0000-00004B060000}"/>
    <cellStyle name="Currency 4 5 2" xfId="1578" xr:uid="{00000000-0005-0000-0000-00004C060000}"/>
    <cellStyle name="Currency 4 5 2 2" xfId="3605" xr:uid="{69F18E63-3131-4FB3-BD03-0314A7FFC4C0}"/>
    <cellStyle name="Currency 4 5 3" xfId="1579" xr:uid="{00000000-0005-0000-0000-00004D060000}"/>
    <cellStyle name="Currency 4 5 3 2" xfId="3606" xr:uid="{4D83CF9C-7DB6-482B-B6AC-DB7063B216CC}"/>
    <cellStyle name="Currency 4 5 4" xfId="1580" xr:uid="{00000000-0005-0000-0000-00004E060000}"/>
    <cellStyle name="Currency 4 5 4 2" xfId="3607" xr:uid="{034A4DC7-F21B-4E55-BB48-7B7B902B3189}"/>
    <cellStyle name="Currency 4 5 5" xfId="3604" xr:uid="{9D9B6815-F3CC-424C-878E-72719B9C5116}"/>
    <cellStyle name="Currency 4 6" xfId="1581" xr:uid="{00000000-0005-0000-0000-00004F060000}"/>
    <cellStyle name="Currency 4 6 2" xfId="1582" xr:uid="{00000000-0005-0000-0000-000050060000}"/>
    <cellStyle name="Currency 4 6 2 2" xfId="3609" xr:uid="{B88C3E8D-BD69-44FA-838E-CF3D885D60F8}"/>
    <cellStyle name="Currency 4 6 3" xfId="1583" xr:uid="{00000000-0005-0000-0000-000051060000}"/>
    <cellStyle name="Currency 4 6 3 2" xfId="3610" xr:uid="{164512A8-A16D-4D10-8AAD-51A95DBAD058}"/>
    <cellStyle name="Currency 4 6 4" xfId="1584" xr:uid="{00000000-0005-0000-0000-000052060000}"/>
    <cellStyle name="Currency 4 6 4 2" xfId="3611" xr:uid="{BB485A7F-DB49-4554-8D27-78841E2C3050}"/>
    <cellStyle name="Currency 4 6 5" xfId="3608" xr:uid="{C053FD13-6010-476E-BDD2-5818845D1A4E}"/>
    <cellStyle name="Currency 4 7" xfId="1585" xr:uid="{00000000-0005-0000-0000-000053060000}"/>
    <cellStyle name="Currency 4 7 2" xfId="1586" xr:uid="{00000000-0005-0000-0000-000054060000}"/>
    <cellStyle name="Currency 4 7 2 2" xfId="3613" xr:uid="{47A86E64-24AE-44CB-9EBA-1F78E229A295}"/>
    <cellStyle name="Currency 4 7 3" xfId="1587" xr:uid="{00000000-0005-0000-0000-000055060000}"/>
    <cellStyle name="Currency 4 7 3 2" xfId="3614" xr:uid="{EB9F152F-1019-4947-8181-8B8C0529D3C9}"/>
    <cellStyle name="Currency 4 7 4" xfId="1588" xr:uid="{00000000-0005-0000-0000-000056060000}"/>
    <cellStyle name="Currency 4 7 4 2" xfId="3615" xr:uid="{31B8F15F-F9D1-4CBD-B18F-A8614EA917F5}"/>
    <cellStyle name="Currency 4 7 5" xfId="3612" xr:uid="{0AC03D19-8268-436A-AE79-A5CB0122348E}"/>
    <cellStyle name="Currency 4 8" xfId="1589" xr:uid="{00000000-0005-0000-0000-000057060000}"/>
    <cellStyle name="Currency 4 8 2" xfId="1590" xr:uid="{00000000-0005-0000-0000-000058060000}"/>
    <cellStyle name="Currency 4 8 2 2" xfId="3617" xr:uid="{2240DFD6-06DC-457F-9405-7F6F7035E2A8}"/>
    <cellStyle name="Currency 4 8 3" xfId="1591" xr:uid="{00000000-0005-0000-0000-000059060000}"/>
    <cellStyle name="Currency 4 8 3 2" xfId="3618" xr:uid="{C8FBC823-0D89-4F23-AD47-9D3898781D74}"/>
    <cellStyle name="Currency 4 8 4" xfId="1592" xr:uid="{00000000-0005-0000-0000-00005A060000}"/>
    <cellStyle name="Currency 4 8 4 2" xfId="3619" xr:uid="{46F59D7C-B966-4176-8497-EF7208A81EC1}"/>
    <cellStyle name="Currency 4 8 5" xfId="3616" xr:uid="{84A6F00F-EA7D-47F3-96EF-2B586D5F50C6}"/>
    <cellStyle name="Currency 4 9" xfId="1593" xr:uid="{00000000-0005-0000-0000-00005B060000}"/>
    <cellStyle name="Currency 4 9 2" xfId="1594" xr:uid="{00000000-0005-0000-0000-00005C060000}"/>
    <cellStyle name="Currency 4 9 2 2" xfId="3621" xr:uid="{8522638C-D599-44B4-A7ED-53BE6526F20F}"/>
    <cellStyle name="Currency 4 9 3" xfId="1595" xr:uid="{00000000-0005-0000-0000-00005D060000}"/>
    <cellStyle name="Currency 4 9 3 2" xfId="3622" xr:uid="{4F5C940C-8761-446B-9405-1B56DEBC5FD9}"/>
    <cellStyle name="Currency 4 9 4" xfId="1596" xr:uid="{00000000-0005-0000-0000-00005E060000}"/>
    <cellStyle name="Currency 4 9 4 2" xfId="3623" xr:uid="{5A7A2F0D-4B54-4BCB-80B2-D6ACFAB380FB}"/>
    <cellStyle name="Currency 4 9 5" xfId="3620" xr:uid="{68DA5DB1-DB36-43EF-B346-E5EF2B89D625}"/>
    <cellStyle name="Currency 40" xfId="3962" xr:uid="{000C1221-8753-4821-B4EC-458184B05781}"/>
    <cellStyle name="Currency 5" xfId="1597" xr:uid="{00000000-0005-0000-0000-00005F060000}"/>
    <cellStyle name="Currency 5 10" xfId="1598" xr:uid="{00000000-0005-0000-0000-000060060000}"/>
    <cellStyle name="Currency 5 10 2" xfId="1599" xr:uid="{00000000-0005-0000-0000-000061060000}"/>
    <cellStyle name="Currency 5 10 2 2" xfId="3626" xr:uid="{30C24AD8-8807-4951-9479-90977D4C6F6A}"/>
    <cellStyle name="Currency 5 10 3" xfId="1600" xr:uid="{00000000-0005-0000-0000-000062060000}"/>
    <cellStyle name="Currency 5 10 3 2" xfId="3627" xr:uid="{26A67772-2CE8-4F52-B530-17DF15E3EF31}"/>
    <cellStyle name="Currency 5 10 4" xfId="1601" xr:uid="{00000000-0005-0000-0000-000063060000}"/>
    <cellStyle name="Currency 5 10 4 2" xfId="3628" xr:uid="{76F2412F-D527-4A02-9C9F-FD89249E592C}"/>
    <cellStyle name="Currency 5 10 5" xfId="3625" xr:uid="{7B69F9FA-1057-474F-82B4-5CD47940BA5E}"/>
    <cellStyle name="Currency 5 11" xfId="1602" xr:uid="{00000000-0005-0000-0000-000064060000}"/>
    <cellStyle name="Currency 5 11 2" xfId="1603" xr:uid="{00000000-0005-0000-0000-000065060000}"/>
    <cellStyle name="Currency 5 11 2 2" xfId="3630" xr:uid="{4F000DA5-D3A6-47C1-821B-D5F56B4CAE4C}"/>
    <cellStyle name="Currency 5 11 3" xfId="1604" xr:uid="{00000000-0005-0000-0000-000066060000}"/>
    <cellStyle name="Currency 5 11 3 2" xfId="3631" xr:uid="{C0BAE811-04A9-4BDB-9614-B8B9BC090337}"/>
    <cellStyle name="Currency 5 11 4" xfId="1605" xr:uid="{00000000-0005-0000-0000-000067060000}"/>
    <cellStyle name="Currency 5 11 4 2" xfId="3632" xr:uid="{60588B5A-DFB8-44A6-AFC4-BFF001CDE19B}"/>
    <cellStyle name="Currency 5 11 5" xfId="3629" xr:uid="{D6580580-5B7F-4BE9-A82C-C61152413989}"/>
    <cellStyle name="Currency 5 12" xfId="1606" xr:uid="{00000000-0005-0000-0000-000068060000}"/>
    <cellStyle name="Currency 5 12 2" xfId="1607" xr:uid="{00000000-0005-0000-0000-000069060000}"/>
    <cellStyle name="Currency 5 12 2 2" xfId="3634" xr:uid="{9BBD6A49-4101-4725-97F1-A715DA5A0615}"/>
    <cellStyle name="Currency 5 12 3" xfId="1608" xr:uid="{00000000-0005-0000-0000-00006A060000}"/>
    <cellStyle name="Currency 5 12 3 2" xfId="3635" xr:uid="{D1566569-D9F2-4C77-BD74-2C6F4742ABEA}"/>
    <cellStyle name="Currency 5 12 4" xfId="1609" xr:uid="{00000000-0005-0000-0000-00006B060000}"/>
    <cellStyle name="Currency 5 12 4 2" xfId="3636" xr:uid="{DCA5AEBD-5C11-4195-88E1-E8B6D7987674}"/>
    <cellStyle name="Currency 5 12 5" xfId="3633" xr:uid="{5486CE58-0551-445D-B8AD-D7AF3D9B10DA}"/>
    <cellStyle name="Currency 5 13" xfId="1610" xr:uid="{00000000-0005-0000-0000-00006C060000}"/>
    <cellStyle name="Currency 5 13 2" xfId="1611" xr:uid="{00000000-0005-0000-0000-00006D060000}"/>
    <cellStyle name="Currency 5 13 2 2" xfId="3638" xr:uid="{2738F731-F969-4FD4-A864-77E1C1E9CB3E}"/>
    <cellStyle name="Currency 5 13 3" xfId="1612" xr:uid="{00000000-0005-0000-0000-00006E060000}"/>
    <cellStyle name="Currency 5 13 3 2" xfId="3639" xr:uid="{6C1C5AD0-629E-42FB-9B1C-E9CCF32DFDC1}"/>
    <cellStyle name="Currency 5 13 4" xfId="1613" xr:uid="{00000000-0005-0000-0000-00006F060000}"/>
    <cellStyle name="Currency 5 13 4 2" xfId="3640" xr:uid="{E9B228A3-762D-4F79-8DC9-449E3A254626}"/>
    <cellStyle name="Currency 5 13 5" xfId="3637" xr:uid="{125560D1-C5F2-42CD-AFF7-C342FB7FD9C9}"/>
    <cellStyle name="Currency 5 14" xfId="1614" xr:uid="{00000000-0005-0000-0000-000070060000}"/>
    <cellStyle name="Currency 5 14 2" xfId="1615" xr:uid="{00000000-0005-0000-0000-000071060000}"/>
    <cellStyle name="Currency 5 14 2 2" xfId="3642" xr:uid="{F8D0F4BA-5632-4FFB-A371-DA3192F9F85A}"/>
    <cellStyle name="Currency 5 14 3" xfId="1616" xr:uid="{00000000-0005-0000-0000-000072060000}"/>
    <cellStyle name="Currency 5 14 3 2" xfId="3643" xr:uid="{D7926325-E2DA-4AF4-91A9-C5054BD2627E}"/>
    <cellStyle name="Currency 5 14 4" xfId="1617" xr:uid="{00000000-0005-0000-0000-000073060000}"/>
    <cellStyle name="Currency 5 14 4 2" xfId="3644" xr:uid="{A578CF49-78C9-4C53-A6CF-85F9BD9769DD}"/>
    <cellStyle name="Currency 5 14 5" xfId="3641" xr:uid="{2751B8A7-3D17-4D6C-BDB8-1A28753F6AF5}"/>
    <cellStyle name="Currency 5 15" xfId="1618" xr:uid="{00000000-0005-0000-0000-000074060000}"/>
    <cellStyle name="Currency 5 15 2" xfId="1619" xr:uid="{00000000-0005-0000-0000-000075060000}"/>
    <cellStyle name="Currency 5 15 2 2" xfId="3646" xr:uid="{AC7D4214-6B8A-4B58-8560-D5B0AAFCABBB}"/>
    <cellStyle name="Currency 5 15 3" xfId="1620" xr:uid="{00000000-0005-0000-0000-000076060000}"/>
    <cellStyle name="Currency 5 15 3 2" xfId="3647" xr:uid="{D2FABCB3-B3D5-41D2-ABBD-E65B2990ED43}"/>
    <cellStyle name="Currency 5 15 4" xfId="1621" xr:uid="{00000000-0005-0000-0000-000077060000}"/>
    <cellStyle name="Currency 5 15 4 2" xfId="3648" xr:uid="{5B36532D-240F-43D8-AC59-840A629BF9B8}"/>
    <cellStyle name="Currency 5 15 5" xfId="3645" xr:uid="{FD7A2F17-7D5D-4887-91EE-86BAF768CC2E}"/>
    <cellStyle name="Currency 5 16" xfId="1622" xr:uid="{00000000-0005-0000-0000-000078060000}"/>
    <cellStyle name="Currency 5 16 2" xfId="1623" xr:uid="{00000000-0005-0000-0000-000079060000}"/>
    <cellStyle name="Currency 5 16 2 2" xfId="3650" xr:uid="{EA1AD0AA-1D23-4E79-8F45-4F675B99A6B6}"/>
    <cellStyle name="Currency 5 16 3" xfId="1624" xr:uid="{00000000-0005-0000-0000-00007A060000}"/>
    <cellStyle name="Currency 5 16 3 2" xfId="3651" xr:uid="{45C244F6-85DE-4A4A-AD19-1D7271A0413D}"/>
    <cellStyle name="Currency 5 16 4" xfId="1625" xr:uid="{00000000-0005-0000-0000-00007B060000}"/>
    <cellStyle name="Currency 5 16 4 2" xfId="3652" xr:uid="{A3439AFC-9DD2-44A5-8B59-445B48689803}"/>
    <cellStyle name="Currency 5 16 5" xfId="3649" xr:uid="{40017EFF-C2B8-45EC-B2BF-AE07234AD0EF}"/>
    <cellStyle name="Currency 5 17" xfId="1626" xr:uid="{00000000-0005-0000-0000-00007C060000}"/>
    <cellStyle name="Currency 5 17 2" xfId="1627" xr:uid="{00000000-0005-0000-0000-00007D060000}"/>
    <cellStyle name="Currency 5 17 2 2" xfId="3654" xr:uid="{16AB61AC-8148-40A6-8AB8-6C3AD504B53C}"/>
    <cellStyle name="Currency 5 17 3" xfId="1628" xr:uid="{00000000-0005-0000-0000-00007E060000}"/>
    <cellStyle name="Currency 5 17 3 2" xfId="3655" xr:uid="{EB05DBD2-3EB4-43F8-B8F1-023E851C173E}"/>
    <cellStyle name="Currency 5 17 4" xfId="1629" xr:uid="{00000000-0005-0000-0000-00007F060000}"/>
    <cellStyle name="Currency 5 17 4 2" xfId="3656" xr:uid="{253C5F13-AEF3-4242-92DD-C48B63FB057E}"/>
    <cellStyle name="Currency 5 17 5" xfId="3653" xr:uid="{C1F463D9-50A1-4BFF-95CF-B2ADAFA10ABD}"/>
    <cellStyle name="Currency 5 18" xfId="1630" xr:uid="{00000000-0005-0000-0000-000080060000}"/>
    <cellStyle name="Currency 5 18 2" xfId="1631" xr:uid="{00000000-0005-0000-0000-000081060000}"/>
    <cellStyle name="Currency 5 18 2 2" xfId="3658" xr:uid="{910F82CA-186A-4070-B870-72E25AB8D412}"/>
    <cellStyle name="Currency 5 18 3" xfId="1632" xr:uid="{00000000-0005-0000-0000-000082060000}"/>
    <cellStyle name="Currency 5 18 3 2" xfId="3659" xr:uid="{44882477-D884-4BF3-AFCA-2A076ABD4A80}"/>
    <cellStyle name="Currency 5 18 4" xfId="1633" xr:uid="{00000000-0005-0000-0000-000083060000}"/>
    <cellStyle name="Currency 5 18 4 2" xfId="3660" xr:uid="{1B294F03-5A2A-4533-B2AA-BB4F1B139912}"/>
    <cellStyle name="Currency 5 18 5" xfId="3657" xr:uid="{26B4293B-FC6A-49B0-BCAD-CE3DDE35CF92}"/>
    <cellStyle name="Currency 5 19" xfId="1634" xr:uid="{00000000-0005-0000-0000-000084060000}"/>
    <cellStyle name="Currency 5 19 2" xfId="1635" xr:uid="{00000000-0005-0000-0000-000085060000}"/>
    <cellStyle name="Currency 5 19 2 2" xfId="3662" xr:uid="{6785C6C1-A979-4C93-A8D4-3A11A149F42A}"/>
    <cellStyle name="Currency 5 19 3" xfId="1636" xr:uid="{00000000-0005-0000-0000-000086060000}"/>
    <cellStyle name="Currency 5 19 3 2" xfId="3663" xr:uid="{3FE2DEE7-B53C-4E95-BB93-2302C6A3392F}"/>
    <cellStyle name="Currency 5 19 4" xfId="1637" xr:uid="{00000000-0005-0000-0000-000087060000}"/>
    <cellStyle name="Currency 5 19 4 2" xfId="3664" xr:uid="{A3B272F0-BB7F-451A-A1B2-D5B3EA054074}"/>
    <cellStyle name="Currency 5 19 5" xfId="3661" xr:uid="{8F837F85-A1F1-4D36-8125-8789635FCCA6}"/>
    <cellStyle name="Currency 5 2" xfId="1638" xr:uid="{00000000-0005-0000-0000-000088060000}"/>
    <cellStyle name="Currency 5 2 2" xfId="1639" xr:uid="{00000000-0005-0000-0000-000089060000}"/>
    <cellStyle name="Currency 5 2 2 2" xfId="3666" xr:uid="{B9CDD340-D97B-4119-9B30-7C1D4035BAED}"/>
    <cellStyle name="Currency 5 2 3" xfId="1640" xr:uid="{00000000-0005-0000-0000-00008A060000}"/>
    <cellStyle name="Currency 5 2 3 2" xfId="3667" xr:uid="{D8B28738-6B2B-450B-BE3F-33C439003293}"/>
    <cellStyle name="Currency 5 2 4" xfId="1641" xr:uid="{00000000-0005-0000-0000-00008B060000}"/>
    <cellStyle name="Currency 5 2 4 2" xfId="3668" xr:uid="{B8A6B484-178D-4DED-84E9-78F9BB34ADC0}"/>
    <cellStyle name="Currency 5 2 5" xfId="3665" xr:uid="{9E4C2DB3-664A-4410-B571-6CAD01F2A9FC}"/>
    <cellStyle name="Currency 5 20" xfId="1642" xr:uid="{00000000-0005-0000-0000-00008C060000}"/>
    <cellStyle name="Currency 5 20 2" xfId="1643" xr:uid="{00000000-0005-0000-0000-00008D060000}"/>
    <cellStyle name="Currency 5 20 2 2" xfId="3670" xr:uid="{7A0E775E-E015-43FD-8A03-13F8B6FD9151}"/>
    <cellStyle name="Currency 5 20 3" xfId="1644" xr:uid="{00000000-0005-0000-0000-00008E060000}"/>
    <cellStyle name="Currency 5 20 3 2" xfId="3671" xr:uid="{828E8E2E-FFFA-4D99-B80B-69622C2B534E}"/>
    <cellStyle name="Currency 5 20 4" xfId="1645" xr:uid="{00000000-0005-0000-0000-00008F060000}"/>
    <cellStyle name="Currency 5 20 4 2" xfId="3672" xr:uid="{CB87368D-3290-4254-94AE-ACC14F03FD04}"/>
    <cellStyle name="Currency 5 20 5" xfId="3669" xr:uid="{E511CCB5-7BD6-4290-8D5F-2C5F2C4FB5C2}"/>
    <cellStyle name="Currency 5 21" xfId="1646" xr:uid="{00000000-0005-0000-0000-000090060000}"/>
    <cellStyle name="Currency 5 21 2" xfId="1647" xr:uid="{00000000-0005-0000-0000-000091060000}"/>
    <cellStyle name="Currency 5 21 2 2" xfId="3674" xr:uid="{083474B9-CBF1-4519-86A3-A2996F2DAB50}"/>
    <cellStyle name="Currency 5 21 3" xfId="1648" xr:uid="{00000000-0005-0000-0000-000092060000}"/>
    <cellStyle name="Currency 5 21 3 2" xfId="3675" xr:uid="{6B0FA4E1-3DBC-45D2-B412-D1C476E90114}"/>
    <cellStyle name="Currency 5 21 4" xfId="1649" xr:uid="{00000000-0005-0000-0000-000093060000}"/>
    <cellStyle name="Currency 5 21 4 2" xfId="3676" xr:uid="{B07991E9-378D-4088-8A28-C6382697D03D}"/>
    <cellStyle name="Currency 5 21 5" xfId="3673" xr:uid="{2E7F4C82-6011-4727-8933-83BC24B07181}"/>
    <cellStyle name="Currency 5 22" xfId="1650" xr:uid="{00000000-0005-0000-0000-000094060000}"/>
    <cellStyle name="Currency 5 22 2" xfId="3677" xr:uid="{E9DD90FC-A5A7-43D8-9A50-D71CCD9B9D96}"/>
    <cellStyle name="Currency 5 23" xfId="1651" xr:uid="{00000000-0005-0000-0000-000095060000}"/>
    <cellStyle name="Currency 5 23 2" xfId="3678" xr:uid="{EE480452-1C63-4695-AC2D-92E4ADA022D7}"/>
    <cellStyle name="Currency 5 24" xfId="1652" xr:uid="{00000000-0005-0000-0000-000096060000}"/>
    <cellStyle name="Currency 5 24 2" xfId="3679" xr:uid="{334F37BC-2BE6-457A-8B7D-B2F30C8B7AD6}"/>
    <cellStyle name="Currency 5 25" xfId="3624" xr:uid="{0895CB66-0223-4968-BDC2-9F04A9EA6EE0}"/>
    <cellStyle name="Currency 5 3" xfId="1653" xr:uid="{00000000-0005-0000-0000-000097060000}"/>
    <cellStyle name="Currency 5 3 2" xfId="1654" xr:uid="{00000000-0005-0000-0000-000098060000}"/>
    <cellStyle name="Currency 5 3 2 2" xfId="3681" xr:uid="{EC31D65E-0B16-4E72-8439-9DB0FA734362}"/>
    <cellStyle name="Currency 5 3 3" xfId="1655" xr:uid="{00000000-0005-0000-0000-000099060000}"/>
    <cellStyle name="Currency 5 3 3 2" xfId="3682" xr:uid="{D947C78C-C4F0-4696-BDF0-8BDD4B94A3B0}"/>
    <cellStyle name="Currency 5 3 4" xfId="1656" xr:uid="{00000000-0005-0000-0000-00009A060000}"/>
    <cellStyle name="Currency 5 3 4 2" xfId="3683" xr:uid="{CCBAABED-FC31-4582-B8FC-727F80CFA614}"/>
    <cellStyle name="Currency 5 3 5" xfId="3680" xr:uid="{74C30C54-8F88-4A88-BF65-12F5B649808A}"/>
    <cellStyle name="Currency 5 4" xfId="1657" xr:uid="{00000000-0005-0000-0000-00009B060000}"/>
    <cellStyle name="Currency 5 4 2" xfId="1658" xr:uid="{00000000-0005-0000-0000-00009C060000}"/>
    <cellStyle name="Currency 5 4 2 2" xfId="3685" xr:uid="{337B53C6-5EFF-4C18-B280-BC223488C529}"/>
    <cellStyle name="Currency 5 4 3" xfId="1659" xr:uid="{00000000-0005-0000-0000-00009D060000}"/>
    <cellStyle name="Currency 5 4 3 2" xfId="3686" xr:uid="{4B8003B2-1CA9-4EC8-844C-535A0F0EBB8D}"/>
    <cellStyle name="Currency 5 4 4" xfId="1660" xr:uid="{00000000-0005-0000-0000-00009E060000}"/>
    <cellStyle name="Currency 5 4 4 2" xfId="3687" xr:uid="{743212F6-1399-43F9-B949-EB6A4282AB34}"/>
    <cellStyle name="Currency 5 4 5" xfId="3684" xr:uid="{82CC5F05-E2EE-4E5F-B348-4ADECBB6D4BF}"/>
    <cellStyle name="Currency 5 5" xfId="1661" xr:uid="{00000000-0005-0000-0000-00009F060000}"/>
    <cellStyle name="Currency 5 5 2" xfId="1662" xr:uid="{00000000-0005-0000-0000-0000A0060000}"/>
    <cellStyle name="Currency 5 5 2 2" xfId="3689" xr:uid="{AFCC43BC-7059-4B4B-9251-CC814F0FB1B2}"/>
    <cellStyle name="Currency 5 5 3" xfId="1663" xr:uid="{00000000-0005-0000-0000-0000A1060000}"/>
    <cellStyle name="Currency 5 5 3 2" xfId="3690" xr:uid="{249D89A7-BAAC-48C2-B40F-E256395A63F7}"/>
    <cellStyle name="Currency 5 5 4" xfId="1664" xr:uid="{00000000-0005-0000-0000-0000A2060000}"/>
    <cellStyle name="Currency 5 5 4 2" xfId="3691" xr:uid="{1617E7F4-65C1-4C2C-95B7-E239C6490945}"/>
    <cellStyle name="Currency 5 5 5" xfId="3688" xr:uid="{2250EC93-569E-4C00-BEF4-2E04AD423810}"/>
    <cellStyle name="Currency 5 6" xfId="1665" xr:uid="{00000000-0005-0000-0000-0000A3060000}"/>
    <cellStyle name="Currency 5 6 2" xfId="1666" xr:uid="{00000000-0005-0000-0000-0000A4060000}"/>
    <cellStyle name="Currency 5 6 2 2" xfId="3693" xr:uid="{2AE0272B-EFAD-4380-BA6C-E8C3EADA657A}"/>
    <cellStyle name="Currency 5 6 3" xfId="1667" xr:uid="{00000000-0005-0000-0000-0000A5060000}"/>
    <cellStyle name="Currency 5 6 3 2" xfId="3694" xr:uid="{9BFA639C-B004-456C-BBD2-3083E13E7E21}"/>
    <cellStyle name="Currency 5 6 4" xfId="1668" xr:uid="{00000000-0005-0000-0000-0000A6060000}"/>
    <cellStyle name="Currency 5 6 4 2" xfId="3695" xr:uid="{ED40E7B4-77D9-4F93-9D98-B8D2FF103F9A}"/>
    <cellStyle name="Currency 5 6 5" xfId="3692" xr:uid="{6B92ED85-4381-46E2-A10B-C883B3D2B2D3}"/>
    <cellStyle name="Currency 5 7" xfId="1669" xr:uid="{00000000-0005-0000-0000-0000A7060000}"/>
    <cellStyle name="Currency 5 7 2" xfId="1670" xr:uid="{00000000-0005-0000-0000-0000A8060000}"/>
    <cellStyle name="Currency 5 7 2 2" xfId="3697" xr:uid="{78B14504-89ED-49FE-ADC0-4627E4169FFC}"/>
    <cellStyle name="Currency 5 7 3" xfId="1671" xr:uid="{00000000-0005-0000-0000-0000A9060000}"/>
    <cellStyle name="Currency 5 7 3 2" xfId="3698" xr:uid="{2F6878F9-753D-4C07-926D-EE950DF2F4AA}"/>
    <cellStyle name="Currency 5 7 4" xfId="1672" xr:uid="{00000000-0005-0000-0000-0000AA060000}"/>
    <cellStyle name="Currency 5 7 4 2" xfId="3699" xr:uid="{A4C710C5-CA6B-4F3B-BA06-928875DBCBE8}"/>
    <cellStyle name="Currency 5 7 5" xfId="3696" xr:uid="{D0D81430-24EF-41A8-B033-11314254FA65}"/>
    <cellStyle name="Currency 5 8" xfId="1673" xr:uid="{00000000-0005-0000-0000-0000AB060000}"/>
    <cellStyle name="Currency 5 8 2" xfId="1674" xr:uid="{00000000-0005-0000-0000-0000AC060000}"/>
    <cellStyle name="Currency 5 8 2 2" xfId="3701" xr:uid="{8D1847A9-C4AE-4FE4-A2C6-245F202E13A1}"/>
    <cellStyle name="Currency 5 8 3" xfId="1675" xr:uid="{00000000-0005-0000-0000-0000AD060000}"/>
    <cellStyle name="Currency 5 8 3 2" xfId="3702" xr:uid="{95B1F6CB-4CE9-4C14-8423-9091C0FC3E3C}"/>
    <cellStyle name="Currency 5 8 4" xfId="1676" xr:uid="{00000000-0005-0000-0000-0000AE060000}"/>
    <cellStyle name="Currency 5 8 4 2" xfId="3703" xr:uid="{4D7E74E2-1C32-4380-BC58-F81976E9556B}"/>
    <cellStyle name="Currency 5 8 5" xfId="3700" xr:uid="{08F0B054-CAB6-41BD-9FAD-D2EE66ABE0FF}"/>
    <cellStyle name="Currency 5 9" xfId="1677" xr:uid="{00000000-0005-0000-0000-0000AF060000}"/>
    <cellStyle name="Currency 5 9 2" xfId="1678" xr:uid="{00000000-0005-0000-0000-0000B0060000}"/>
    <cellStyle name="Currency 5 9 2 2" xfId="3705" xr:uid="{5EF20A22-D24D-47A3-B9D3-8D102BE38DC1}"/>
    <cellStyle name="Currency 5 9 3" xfId="1679" xr:uid="{00000000-0005-0000-0000-0000B1060000}"/>
    <cellStyle name="Currency 5 9 3 2" xfId="3706" xr:uid="{13A3EAD7-7FA2-4B07-B4A6-CED004DCEA72}"/>
    <cellStyle name="Currency 5 9 4" xfId="1680" xr:uid="{00000000-0005-0000-0000-0000B2060000}"/>
    <cellStyle name="Currency 5 9 4 2" xfId="3707" xr:uid="{13DAF329-80F2-4ECA-AFE7-FB6958FC3D1E}"/>
    <cellStyle name="Currency 5 9 5" xfId="3704" xr:uid="{CD11FDAB-80D8-4033-A8C3-822E873A253F}"/>
    <cellStyle name="Currency 6" xfId="1681" xr:uid="{00000000-0005-0000-0000-0000B3060000}"/>
    <cellStyle name="Currency 6 10" xfId="1682" xr:uid="{00000000-0005-0000-0000-0000B4060000}"/>
    <cellStyle name="Currency 6 10 2" xfId="1683" xr:uid="{00000000-0005-0000-0000-0000B5060000}"/>
    <cellStyle name="Currency 6 10 2 2" xfId="3710" xr:uid="{938EBFFE-7136-4948-A2DD-D577432467C6}"/>
    <cellStyle name="Currency 6 10 3" xfId="1684" xr:uid="{00000000-0005-0000-0000-0000B6060000}"/>
    <cellStyle name="Currency 6 10 3 2" xfId="3711" xr:uid="{90E33645-AD59-4E01-AA28-40928B57DDAF}"/>
    <cellStyle name="Currency 6 10 4" xfId="1685" xr:uid="{00000000-0005-0000-0000-0000B7060000}"/>
    <cellStyle name="Currency 6 10 4 2" xfId="3712" xr:uid="{D765699D-5401-493B-892E-78A9FC391C91}"/>
    <cellStyle name="Currency 6 10 5" xfId="3709" xr:uid="{5B2D5746-CECD-420D-892E-BC5E42369B71}"/>
    <cellStyle name="Currency 6 11" xfId="1686" xr:uid="{00000000-0005-0000-0000-0000B8060000}"/>
    <cellStyle name="Currency 6 11 2" xfId="1687" xr:uid="{00000000-0005-0000-0000-0000B9060000}"/>
    <cellStyle name="Currency 6 11 2 2" xfId="3714" xr:uid="{0EE3CC15-99C3-43BF-AB36-DA3F22476544}"/>
    <cellStyle name="Currency 6 11 3" xfId="1688" xr:uid="{00000000-0005-0000-0000-0000BA060000}"/>
    <cellStyle name="Currency 6 11 3 2" xfId="3715" xr:uid="{D4E5CDE4-C62F-47BE-98CD-A5D16D1347F1}"/>
    <cellStyle name="Currency 6 11 4" xfId="1689" xr:uid="{00000000-0005-0000-0000-0000BB060000}"/>
    <cellStyle name="Currency 6 11 4 2" xfId="3716" xr:uid="{46796E57-A9E4-4CF0-89F6-32AE516E6FE2}"/>
    <cellStyle name="Currency 6 11 5" xfId="3713" xr:uid="{A38B3642-5EB5-4DA6-A4E5-031F6AF8C54F}"/>
    <cellStyle name="Currency 6 12" xfId="1690" xr:uid="{00000000-0005-0000-0000-0000BC060000}"/>
    <cellStyle name="Currency 6 12 2" xfId="1691" xr:uid="{00000000-0005-0000-0000-0000BD060000}"/>
    <cellStyle name="Currency 6 12 2 2" xfId="3718" xr:uid="{526B02A4-E8E9-47DD-8675-9197081B49BF}"/>
    <cellStyle name="Currency 6 12 3" xfId="1692" xr:uid="{00000000-0005-0000-0000-0000BE060000}"/>
    <cellStyle name="Currency 6 12 3 2" xfId="3719" xr:uid="{BE1C2C4B-CA98-4267-B975-14C17269F9B4}"/>
    <cellStyle name="Currency 6 12 4" xfId="1693" xr:uid="{00000000-0005-0000-0000-0000BF060000}"/>
    <cellStyle name="Currency 6 12 4 2" xfId="3720" xr:uid="{9676F0D5-9422-49CC-BA7B-7909FDE1E1B4}"/>
    <cellStyle name="Currency 6 12 5" xfId="3717" xr:uid="{D7E42F46-B308-4BE1-ACA7-295D67D024E9}"/>
    <cellStyle name="Currency 6 13" xfId="1694" xr:uid="{00000000-0005-0000-0000-0000C0060000}"/>
    <cellStyle name="Currency 6 13 2" xfId="1695" xr:uid="{00000000-0005-0000-0000-0000C1060000}"/>
    <cellStyle name="Currency 6 13 2 2" xfId="3722" xr:uid="{4606782E-34D4-4C7D-B9B1-B402E7A2903A}"/>
    <cellStyle name="Currency 6 13 3" xfId="1696" xr:uid="{00000000-0005-0000-0000-0000C2060000}"/>
    <cellStyle name="Currency 6 13 3 2" xfId="3723" xr:uid="{71FF5828-BD13-4714-B1B6-D3CAE36672D6}"/>
    <cellStyle name="Currency 6 13 4" xfId="1697" xr:uid="{00000000-0005-0000-0000-0000C3060000}"/>
    <cellStyle name="Currency 6 13 4 2" xfId="3724" xr:uid="{5212C35D-0A63-45EC-AD0F-607FBA6A6F82}"/>
    <cellStyle name="Currency 6 13 5" xfId="3721" xr:uid="{915B9A96-9A87-4247-A3F5-4A49857905B7}"/>
    <cellStyle name="Currency 6 14" xfId="1698" xr:uid="{00000000-0005-0000-0000-0000C4060000}"/>
    <cellStyle name="Currency 6 14 2" xfId="1699" xr:uid="{00000000-0005-0000-0000-0000C5060000}"/>
    <cellStyle name="Currency 6 14 2 2" xfId="3726" xr:uid="{A6C9F6E8-F4E6-4605-9AB1-89FF4D573947}"/>
    <cellStyle name="Currency 6 14 3" xfId="1700" xr:uid="{00000000-0005-0000-0000-0000C6060000}"/>
    <cellStyle name="Currency 6 14 3 2" xfId="3727" xr:uid="{2332B009-D272-4FE8-9267-0E9CE8A882F8}"/>
    <cellStyle name="Currency 6 14 4" xfId="1701" xr:uid="{00000000-0005-0000-0000-0000C7060000}"/>
    <cellStyle name="Currency 6 14 4 2" xfId="3728" xr:uid="{2AD38491-ED8D-4F57-9D43-AA11E1777B9C}"/>
    <cellStyle name="Currency 6 14 5" xfId="3725" xr:uid="{193B5CA6-3F96-4E08-AA43-90FA67E805E7}"/>
    <cellStyle name="Currency 6 15" xfId="1702" xr:uid="{00000000-0005-0000-0000-0000C8060000}"/>
    <cellStyle name="Currency 6 15 2" xfId="1703" xr:uid="{00000000-0005-0000-0000-0000C9060000}"/>
    <cellStyle name="Currency 6 15 2 2" xfId="3730" xr:uid="{2A487C98-E2FF-42F3-8CA0-2D014283F0BB}"/>
    <cellStyle name="Currency 6 15 3" xfId="1704" xr:uid="{00000000-0005-0000-0000-0000CA060000}"/>
    <cellStyle name="Currency 6 15 3 2" xfId="3731" xr:uid="{C6B4DE2A-4329-46AB-96C9-2CAB636BE3D9}"/>
    <cellStyle name="Currency 6 15 4" xfId="1705" xr:uid="{00000000-0005-0000-0000-0000CB060000}"/>
    <cellStyle name="Currency 6 15 4 2" xfId="3732" xr:uid="{5A3A8572-6090-429F-AADB-477539C5B3B2}"/>
    <cellStyle name="Currency 6 15 5" xfId="3729" xr:uid="{D3E00AFD-931A-4F26-98D4-EEE685E9FD80}"/>
    <cellStyle name="Currency 6 16" xfId="1706" xr:uid="{00000000-0005-0000-0000-0000CC060000}"/>
    <cellStyle name="Currency 6 16 2" xfId="1707" xr:uid="{00000000-0005-0000-0000-0000CD060000}"/>
    <cellStyle name="Currency 6 16 2 2" xfId="3734" xr:uid="{F71A9D08-38BB-4765-A868-C9F2D6C3DA0D}"/>
    <cellStyle name="Currency 6 16 3" xfId="1708" xr:uid="{00000000-0005-0000-0000-0000CE060000}"/>
    <cellStyle name="Currency 6 16 3 2" xfId="3735" xr:uid="{3D114DA0-23F2-4DC5-9958-FEC3ACA6BE97}"/>
    <cellStyle name="Currency 6 16 4" xfId="1709" xr:uid="{00000000-0005-0000-0000-0000CF060000}"/>
    <cellStyle name="Currency 6 16 4 2" xfId="3736" xr:uid="{43101C17-F119-423E-9F4B-7F062FD4FA1B}"/>
    <cellStyle name="Currency 6 16 5" xfId="3733" xr:uid="{B085DD74-C237-455B-A46B-92CEA6EC7BB9}"/>
    <cellStyle name="Currency 6 17" xfId="1710" xr:uid="{00000000-0005-0000-0000-0000D0060000}"/>
    <cellStyle name="Currency 6 17 2" xfId="1711" xr:uid="{00000000-0005-0000-0000-0000D1060000}"/>
    <cellStyle name="Currency 6 17 2 2" xfId="3738" xr:uid="{2F1BF510-23AF-4528-BEC5-D76D00C78073}"/>
    <cellStyle name="Currency 6 17 3" xfId="1712" xr:uid="{00000000-0005-0000-0000-0000D2060000}"/>
    <cellStyle name="Currency 6 17 3 2" xfId="3739" xr:uid="{8A82F976-CBDE-4C31-AA15-07105BA1A842}"/>
    <cellStyle name="Currency 6 17 4" xfId="1713" xr:uid="{00000000-0005-0000-0000-0000D3060000}"/>
    <cellStyle name="Currency 6 17 4 2" xfId="3740" xr:uid="{BD4C9194-C05A-4FF7-BA50-0125D5ACDCA2}"/>
    <cellStyle name="Currency 6 17 5" xfId="3737" xr:uid="{A2573B47-138A-400F-92ED-B065D1062391}"/>
    <cellStyle name="Currency 6 18" xfId="1714" xr:uid="{00000000-0005-0000-0000-0000D4060000}"/>
    <cellStyle name="Currency 6 18 2" xfId="1715" xr:uid="{00000000-0005-0000-0000-0000D5060000}"/>
    <cellStyle name="Currency 6 18 2 2" xfId="3742" xr:uid="{114C58E0-55B4-4614-8AAB-3E28A7E7F46F}"/>
    <cellStyle name="Currency 6 18 3" xfId="1716" xr:uid="{00000000-0005-0000-0000-0000D6060000}"/>
    <cellStyle name="Currency 6 18 3 2" xfId="3743" xr:uid="{04B23923-DFA6-48EF-8DD4-A9BDC6B9640B}"/>
    <cellStyle name="Currency 6 18 4" xfId="1717" xr:uid="{00000000-0005-0000-0000-0000D7060000}"/>
    <cellStyle name="Currency 6 18 4 2" xfId="3744" xr:uid="{30933210-ECF8-4AFF-8EEF-C0C467421C47}"/>
    <cellStyle name="Currency 6 18 5" xfId="3741" xr:uid="{0E17C0EA-9D2E-465C-AF8D-8527D2577542}"/>
    <cellStyle name="Currency 6 19" xfId="1718" xr:uid="{00000000-0005-0000-0000-0000D8060000}"/>
    <cellStyle name="Currency 6 19 2" xfId="1719" xr:uid="{00000000-0005-0000-0000-0000D9060000}"/>
    <cellStyle name="Currency 6 19 2 2" xfId="3746" xr:uid="{F8EFA292-CE5C-46A6-BC47-E4A2393DB8AA}"/>
    <cellStyle name="Currency 6 19 3" xfId="1720" xr:uid="{00000000-0005-0000-0000-0000DA060000}"/>
    <cellStyle name="Currency 6 19 3 2" xfId="3747" xr:uid="{E13159DE-B69A-49E8-B027-4AFA0778928F}"/>
    <cellStyle name="Currency 6 19 4" xfId="1721" xr:uid="{00000000-0005-0000-0000-0000DB060000}"/>
    <cellStyle name="Currency 6 19 4 2" xfId="3748" xr:uid="{63CA8D5D-DA50-4C5F-B7A9-BEA82A844D50}"/>
    <cellStyle name="Currency 6 19 5" xfId="3745" xr:uid="{FEBD0E6C-58CA-4C7E-A30C-377C7CA19A9D}"/>
    <cellStyle name="Currency 6 2" xfId="1722" xr:uid="{00000000-0005-0000-0000-0000DC060000}"/>
    <cellStyle name="Currency 6 2 2" xfId="1723" xr:uid="{00000000-0005-0000-0000-0000DD060000}"/>
    <cellStyle name="Currency 6 2 2 2" xfId="3750" xr:uid="{B71A264B-DD8A-43DF-9458-498D86E6200B}"/>
    <cellStyle name="Currency 6 2 3" xfId="1724" xr:uid="{00000000-0005-0000-0000-0000DE060000}"/>
    <cellStyle name="Currency 6 2 3 2" xfId="3751" xr:uid="{56BC8DD1-7594-4A2C-ACB5-0D97C8649742}"/>
    <cellStyle name="Currency 6 2 4" xfId="1725" xr:uid="{00000000-0005-0000-0000-0000DF060000}"/>
    <cellStyle name="Currency 6 2 4 2" xfId="3752" xr:uid="{E860902B-07C6-4204-86C8-3A88415CE7A4}"/>
    <cellStyle name="Currency 6 2 5" xfId="3749" xr:uid="{E6A0A9B7-1D12-40B7-A1BD-DBD0ACAFD6A9}"/>
    <cellStyle name="Currency 6 20" xfId="1726" xr:uid="{00000000-0005-0000-0000-0000E0060000}"/>
    <cellStyle name="Currency 6 20 2" xfId="1727" xr:uid="{00000000-0005-0000-0000-0000E1060000}"/>
    <cellStyle name="Currency 6 20 2 2" xfId="3754" xr:uid="{84FE72A8-BE8B-4ADE-93C0-8143599435F9}"/>
    <cellStyle name="Currency 6 20 3" xfId="1728" xr:uid="{00000000-0005-0000-0000-0000E2060000}"/>
    <cellStyle name="Currency 6 20 3 2" xfId="3755" xr:uid="{DF545868-655A-4BB6-B55F-C0EFF5A5C8B3}"/>
    <cellStyle name="Currency 6 20 4" xfId="1729" xr:uid="{00000000-0005-0000-0000-0000E3060000}"/>
    <cellStyle name="Currency 6 20 4 2" xfId="3756" xr:uid="{D7023811-E3C7-45AE-B034-B1350D4B4B03}"/>
    <cellStyle name="Currency 6 20 5" xfId="3753" xr:uid="{31D6084E-09FF-4624-93C6-A85B56DAFE2B}"/>
    <cellStyle name="Currency 6 21" xfId="1730" xr:uid="{00000000-0005-0000-0000-0000E4060000}"/>
    <cellStyle name="Currency 6 21 2" xfId="1731" xr:uid="{00000000-0005-0000-0000-0000E5060000}"/>
    <cellStyle name="Currency 6 21 2 2" xfId="3758" xr:uid="{C5C4EC5A-648E-43B9-8E94-2F2232E06607}"/>
    <cellStyle name="Currency 6 21 3" xfId="1732" xr:uid="{00000000-0005-0000-0000-0000E6060000}"/>
    <cellStyle name="Currency 6 21 3 2" xfId="3759" xr:uid="{D99CC414-64C1-4D5D-9712-8DC1FCE2831D}"/>
    <cellStyle name="Currency 6 21 4" xfId="1733" xr:uid="{00000000-0005-0000-0000-0000E7060000}"/>
    <cellStyle name="Currency 6 21 4 2" xfId="3760" xr:uid="{6DC0C61C-23A3-4830-90F6-9AD9BF4F31CC}"/>
    <cellStyle name="Currency 6 21 5" xfId="3757" xr:uid="{75C08FA8-E30D-4990-BFBF-B3A9CD87A08B}"/>
    <cellStyle name="Currency 6 22" xfId="1734" xr:uid="{00000000-0005-0000-0000-0000E8060000}"/>
    <cellStyle name="Currency 6 22 2" xfId="3761" xr:uid="{C6597973-4095-4DFD-A536-3809CECBC9FE}"/>
    <cellStyle name="Currency 6 23" xfId="1735" xr:uid="{00000000-0005-0000-0000-0000E9060000}"/>
    <cellStyle name="Currency 6 23 2" xfId="3762" xr:uid="{1645BE55-19F9-427F-9A91-80045425D5B0}"/>
    <cellStyle name="Currency 6 24" xfId="1736" xr:uid="{00000000-0005-0000-0000-0000EA060000}"/>
    <cellStyle name="Currency 6 24 2" xfId="3763" xr:uid="{CBE274A4-1DA5-4426-B0AF-E57682AE5ED2}"/>
    <cellStyle name="Currency 6 25" xfId="3708" xr:uid="{05CBD424-CAD0-4319-9FCD-D27BCBB849A3}"/>
    <cellStyle name="Currency 6 3" xfId="1737" xr:uid="{00000000-0005-0000-0000-0000EB060000}"/>
    <cellStyle name="Currency 6 3 2" xfId="1738" xr:uid="{00000000-0005-0000-0000-0000EC060000}"/>
    <cellStyle name="Currency 6 3 2 2" xfId="3765" xr:uid="{B387447B-5464-4577-9A6B-FE44B6865DBE}"/>
    <cellStyle name="Currency 6 3 3" xfId="1739" xr:uid="{00000000-0005-0000-0000-0000ED060000}"/>
    <cellStyle name="Currency 6 3 3 2" xfId="3766" xr:uid="{5088B928-DCC6-4F3A-B8AE-7309A07FE05F}"/>
    <cellStyle name="Currency 6 3 4" xfId="1740" xr:uid="{00000000-0005-0000-0000-0000EE060000}"/>
    <cellStyle name="Currency 6 3 4 2" xfId="3767" xr:uid="{9C6A2280-2934-4E5B-825B-37485AD7E434}"/>
    <cellStyle name="Currency 6 3 5" xfId="3764" xr:uid="{2EC0B250-64CE-4459-9C34-0DF53D1E6B0C}"/>
    <cellStyle name="Currency 6 4" xfId="1741" xr:uid="{00000000-0005-0000-0000-0000EF060000}"/>
    <cellStyle name="Currency 6 4 2" xfId="1742" xr:uid="{00000000-0005-0000-0000-0000F0060000}"/>
    <cellStyle name="Currency 6 4 2 2" xfId="3769" xr:uid="{FF227299-41BC-425B-986E-D5006DC495CC}"/>
    <cellStyle name="Currency 6 4 3" xfId="1743" xr:uid="{00000000-0005-0000-0000-0000F1060000}"/>
    <cellStyle name="Currency 6 4 3 2" xfId="3770" xr:uid="{96D357E0-4269-45E0-9C56-42FF6A4452F1}"/>
    <cellStyle name="Currency 6 4 4" xfId="1744" xr:uid="{00000000-0005-0000-0000-0000F2060000}"/>
    <cellStyle name="Currency 6 4 4 2" xfId="3771" xr:uid="{07ABCB8C-BFD6-4239-84C5-566B4FC97A87}"/>
    <cellStyle name="Currency 6 4 5" xfId="3768" xr:uid="{3C34F56F-36E1-4FE0-81E7-18D4424AF8C6}"/>
    <cellStyle name="Currency 6 5" xfId="1745" xr:uid="{00000000-0005-0000-0000-0000F3060000}"/>
    <cellStyle name="Currency 6 5 2" xfId="1746" xr:uid="{00000000-0005-0000-0000-0000F4060000}"/>
    <cellStyle name="Currency 6 5 2 2" xfId="3773" xr:uid="{78C652B5-0001-4151-932F-69CD1F7835D6}"/>
    <cellStyle name="Currency 6 5 3" xfId="1747" xr:uid="{00000000-0005-0000-0000-0000F5060000}"/>
    <cellStyle name="Currency 6 5 3 2" xfId="3774" xr:uid="{79E0B936-AE90-4291-B2DB-BB5B9D46B727}"/>
    <cellStyle name="Currency 6 5 4" xfId="1748" xr:uid="{00000000-0005-0000-0000-0000F6060000}"/>
    <cellStyle name="Currency 6 5 4 2" xfId="3775" xr:uid="{C3589790-6B07-4441-9EC5-89C1B97B5D4D}"/>
    <cellStyle name="Currency 6 5 5" xfId="3772" xr:uid="{18A8EC39-F439-4927-88A6-E0C077CC86C2}"/>
    <cellStyle name="Currency 6 6" xfId="1749" xr:uid="{00000000-0005-0000-0000-0000F7060000}"/>
    <cellStyle name="Currency 6 6 2" xfId="1750" xr:uid="{00000000-0005-0000-0000-0000F8060000}"/>
    <cellStyle name="Currency 6 6 2 2" xfId="3777" xr:uid="{6CB8BC34-78FF-48E4-BCE4-45FA052E55D0}"/>
    <cellStyle name="Currency 6 6 3" xfId="1751" xr:uid="{00000000-0005-0000-0000-0000F9060000}"/>
    <cellStyle name="Currency 6 6 3 2" xfId="3778" xr:uid="{F177E5D6-AE84-4E95-90F2-771D3879FEB0}"/>
    <cellStyle name="Currency 6 6 4" xfId="1752" xr:uid="{00000000-0005-0000-0000-0000FA060000}"/>
    <cellStyle name="Currency 6 6 4 2" xfId="3779" xr:uid="{8F5A2369-E022-49D3-B83E-7EEE9A6BF23E}"/>
    <cellStyle name="Currency 6 6 5" xfId="3776" xr:uid="{2932D823-D22A-4563-899B-221856554113}"/>
    <cellStyle name="Currency 6 7" xfId="1753" xr:uid="{00000000-0005-0000-0000-0000FB060000}"/>
    <cellStyle name="Currency 6 7 2" xfId="1754" xr:uid="{00000000-0005-0000-0000-0000FC060000}"/>
    <cellStyle name="Currency 6 7 2 2" xfId="3781" xr:uid="{FAF511E6-3FD1-4866-8120-04DE1053B43D}"/>
    <cellStyle name="Currency 6 7 3" xfId="1755" xr:uid="{00000000-0005-0000-0000-0000FD060000}"/>
    <cellStyle name="Currency 6 7 3 2" xfId="3782" xr:uid="{AD594F46-AE75-4526-8FFB-28B5915417C2}"/>
    <cellStyle name="Currency 6 7 4" xfId="1756" xr:uid="{00000000-0005-0000-0000-0000FE060000}"/>
    <cellStyle name="Currency 6 7 4 2" xfId="3783" xr:uid="{C4515387-7A81-4AA7-9346-EF502C2B31EC}"/>
    <cellStyle name="Currency 6 7 5" xfId="3780" xr:uid="{363BA0E2-897C-43EB-A192-4E988AE19CC3}"/>
    <cellStyle name="Currency 6 8" xfId="1757" xr:uid="{00000000-0005-0000-0000-0000FF060000}"/>
    <cellStyle name="Currency 6 8 2" xfId="1758" xr:uid="{00000000-0005-0000-0000-000000070000}"/>
    <cellStyle name="Currency 6 8 2 2" xfId="3785" xr:uid="{477E007D-97C9-4C7C-81F3-E6727B49DFA2}"/>
    <cellStyle name="Currency 6 8 3" xfId="1759" xr:uid="{00000000-0005-0000-0000-000001070000}"/>
    <cellStyle name="Currency 6 8 3 2" xfId="3786" xr:uid="{817C6590-0704-48FD-818E-E2EB63BB6763}"/>
    <cellStyle name="Currency 6 8 4" xfId="1760" xr:uid="{00000000-0005-0000-0000-000002070000}"/>
    <cellStyle name="Currency 6 8 4 2" xfId="3787" xr:uid="{F7B9AA69-E431-449D-9559-62B64459319E}"/>
    <cellStyle name="Currency 6 8 5" xfId="3784" xr:uid="{AD07A014-DDBA-48BB-849D-9D710DD7B19D}"/>
    <cellStyle name="Currency 6 9" xfId="1761" xr:uid="{00000000-0005-0000-0000-000003070000}"/>
    <cellStyle name="Currency 6 9 2" xfId="1762" xr:uid="{00000000-0005-0000-0000-000004070000}"/>
    <cellStyle name="Currency 6 9 2 2" xfId="3789" xr:uid="{1241E8C6-A22E-46E2-A31D-88A82F3B26FA}"/>
    <cellStyle name="Currency 6 9 3" xfId="1763" xr:uid="{00000000-0005-0000-0000-000005070000}"/>
    <cellStyle name="Currency 6 9 3 2" xfId="3790" xr:uid="{8980C6A4-4102-43AF-8272-3EB751AE0443}"/>
    <cellStyle name="Currency 6 9 4" xfId="1764" xr:uid="{00000000-0005-0000-0000-000006070000}"/>
    <cellStyle name="Currency 6 9 4 2" xfId="3791" xr:uid="{9FB82691-CDCC-47C7-8520-662FB0EA5FB1}"/>
    <cellStyle name="Currency 6 9 5" xfId="3788" xr:uid="{602631E6-6E69-4BFC-AA9F-2324B4C509C1}"/>
    <cellStyle name="Currency 7" xfId="1765" xr:uid="{00000000-0005-0000-0000-000007070000}"/>
    <cellStyle name="Currency 7 10" xfId="1766" xr:uid="{00000000-0005-0000-0000-000008070000}"/>
    <cellStyle name="Currency 7 10 2" xfId="1767" xr:uid="{00000000-0005-0000-0000-000009070000}"/>
    <cellStyle name="Currency 7 10 2 2" xfId="3794" xr:uid="{24F98162-B6C3-48F7-89AB-DF7776132C0A}"/>
    <cellStyle name="Currency 7 10 3" xfId="1768" xr:uid="{00000000-0005-0000-0000-00000A070000}"/>
    <cellStyle name="Currency 7 10 3 2" xfId="3795" xr:uid="{36A2E182-31C2-4F19-905C-24B1BBEEF9CE}"/>
    <cellStyle name="Currency 7 10 4" xfId="1769" xr:uid="{00000000-0005-0000-0000-00000B070000}"/>
    <cellStyle name="Currency 7 10 4 2" xfId="3796" xr:uid="{3CBF7CB0-0C63-4C75-BA34-F86A239E829B}"/>
    <cellStyle name="Currency 7 10 5" xfId="3793" xr:uid="{BDB12997-EA3C-4AA7-A414-1DA369562804}"/>
    <cellStyle name="Currency 7 11" xfId="1770" xr:uid="{00000000-0005-0000-0000-00000C070000}"/>
    <cellStyle name="Currency 7 11 2" xfId="1771" xr:uid="{00000000-0005-0000-0000-00000D070000}"/>
    <cellStyle name="Currency 7 11 2 2" xfId="3798" xr:uid="{C0148989-F251-4898-8031-F4FCA2752742}"/>
    <cellStyle name="Currency 7 11 3" xfId="1772" xr:uid="{00000000-0005-0000-0000-00000E070000}"/>
    <cellStyle name="Currency 7 11 3 2" xfId="3799" xr:uid="{8E4A3AD6-B4D1-4DBD-AA1D-54DFFBB244F5}"/>
    <cellStyle name="Currency 7 11 4" xfId="1773" xr:uid="{00000000-0005-0000-0000-00000F070000}"/>
    <cellStyle name="Currency 7 11 4 2" xfId="3800" xr:uid="{E6463951-8360-4FAE-8093-C62494CE5B25}"/>
    <cellStyle name="Currency 7 11 5" xfId="3797" xr:uid="{359B9E8A-72BF-4E2B-9C28-2EDA1CC0BE1E}"/>
    <cellStyle name="Currency 7 12" xfId="1774" xr:uid="{00000000-0005-0000-0000-000010070000}"/>
    <cellStyle name="Currency 7 12 2" xfId="1775" xr:uid="{00000000-0005-0000-0000-000011070000}"/>
    <cellStyle name="Currency 7 12 2 2" xfId="3802" xr:uid="{4762866F-FABE-4507-B479-E62F8773A409}"/>
    <cellStyle name="Currency 7 12 3" xfId="1776" xr:uid="{00000000-0005-0000-0000-000012070000}"/>
    <cellStyle name="Currency 7 12 3 2" xfId="3803" xr:uid="{024594F7-8B6E-4C76-8387-60B94495151B}"/>
    <cellStyle name="Currency 7 12 4" xfId="1777" xr:uid="{00000000-0005-0000-0000-000013070000}"/>
    <cellStyle name="Currency 7 12 4 2" xfId="3804" xr:uid="{886A38DA-B7F3-4EE4-815D-79D9B1E12346}"/>
    <cellStyle name="Currency 7 12 5" xfId="3801" xr:uid="{10FAF879-9AD9-403E-BB0A-DB96141F020F}"/>
    <cellStyle name="Currency 7 13" xfId="1778" xr:uid="{00000000-0005-0000-0000-000014070000}"/>
    <cellStyle name="Currency 7 13 2" xfId="1779" xr:uid="{00000000-0005-0000-0000-000015070000}"/>
    <cellStyle name="Currency 7 13 2 2" xfId="3806" xr:uid="{E65DE6AF-7241-42CC-A311-4BC2AEBDCCFD}"/>
    <cellStyle name="Currency 7 13 3" xfId="1780" xr:uid="{00000000-0005-0000-0000-000016070000}"/>
    <cellStyle name="Currency 7 13 3 2" xfId="3807" xr:uid="{E51C93E4-6DC2-44EB-8933-91B4119C848D}"/>
    <cellStyle name="Currency 7 13 4" xfId="1781" xr:uid="{00000000-0005-0000-0000-000017070000}"/>
    <cellStyle name="Currency 7 13 4 2" xfId="3808" xr:uid="{BF7F5FCA-6240-4D5B-A06F-A08C3E44D4C1}"/>
    <cellStyle name="Currency 7 13 5" xfId="3805" xr:uid="{862BA38A-1289-4A3D-BC5F-472CE9D24938}"/>
    <cellStyle name="Currency 7 14" xfId="1782" xr:uid="{00000000-0005-0000-0000-000018070000}"/>
    <cellStyle name="Currency 7 14 2" xfId="1783" xr:uid="{00000000-0005-0000-0000-000019070000}"/>
    <cellStyle name="Currency 7 14 2 2" xfId="3810" xr:uid="{18410770-1218-48E3-808F-FFDA5C657E88}"/>
    <cellStyle name="Currency 7 14 3" xfId="1784" xr:uid="{00000000-0005-0000-0000-00001A070000}"/>
    <cellStyle name="Currency 7 14 3 2" xfId="3811" xr:uid="{80D03048-F73D-48A6-87F3-71778458B4C0}"/>
    <cellStyle name="Currency 7 14 4" xfId="1785" xr:uid="{00000000-0005-0000-0000-00001B070000}"/>
    <cellStyle name="Currency 7 14 4 2" xfId="3812" xr:uid="{1040C054-C91D-4B59-8B5B-C31480C0A802}"/>
    <cellStyle name="Currency 7 14 5" xfId="3809" xr:uid="{3322DBEC-BE92-40FD-A79E-A2D4EFD9EFA1}"/>
    <cellStyle name="Currency 7 15" xfId="1786" xr:uid="{00000000-0005-0000-0000-00001C070000}"/>
    <cellStyle name="Currency 7 15 2" xfId="1787" xr:uid="{00000000-0005-0000-0000-00001D070000}"/>
    <cellStyle name="Currency 7 15 2 2" xfId="3814" xr:uid="{82105654-00E6-47A5-BDDF-6826DB6C46D4}"/>
    <cellStyle name="Currency 7 15 3" xfId="1788" xr:uid="{00000000-0005-0000-0000-00001E070000}"/>
    <cellStyle name="Currency 7 15 3 2" xfId="3815" xr:uid="{5F5E8948-9458-4A55-B915-D5323DCE9289}"/>
    <cellStyle name="Currency 7 15 4" xfId="1789" xr:uid="{00000000-0005-0000-0000-00001F070000}"/>
    <cellStyle name="Currency 7 15 4 2" xfId="3816" xr:uid="{E8D84243-F144-45F5-B1C3-3FE730DBBBBD}"/>
    <cellStyle name="Currency 7 15 5" xfId="3813" xr:uid="{523CC921-EB8F-45F7-BA65-A1BBF88D2240}"/>
    <cellStyle name="Currency 7 16" xfId="1790" xr:uid="{00000000-0005-0000-0000-000020070000}"/>
    <cellStyle name="Currency 7 16 2" xfId="1791" xr:uid="{00000000-0005-0000-0000-000021070000}"/>
    <cellStyle name="Currency 7 16 2 2" xfId="3818" xr:uid="{5C17E110-9E5A-43D3-8E6F-EE11EC0C521E}"/>
    <cellStyle name="Currency 7 16 3" xfId="1792" xr:uid="{00000000-0005-0000-0000-000022070000}"/>
    <cellStyle name="Currency 7 16 3 2" xfId="3819" xr:uid="{F6D71E33-4774-4EB7-A91C-D9813D783F20}"/>
    <cellStyle name="Currency 7 16 4" xfId="1793" xr:uid="{00000000-0005-0000-0000-000023070000}"/>
    <cellStyle name="Currency 7 16 4 2" xfId="3820" xr:uid="{785A5EE3-9AFA-49BC-825D-02853DD3A091}"/>
    <cellStyle name="Currency 7 16 5" xfId="3817" xr:uid="{29A28494-7718-48FC-A857-6076F961892A}"/>
    <cellStyle name="Currency 7 17" xfId="1794" xr:uid="{00000000-0005-0000-0000-000024070000}"/>
    <cellStyle name="Currency 7 17 2" xfId="1795" xr:uid="{00000000-0005-0000-0000-000025070000}"/>
    <cellStyle name="Currency 7 17 2 2" xfId="3822" xr:uid="{72DF3F76-270C-4B4D-8881-73F9F97A1ACE}"/>
    <cellStyle name="Currency 7 17 3" xfId="1796" xr:uid="{00000000-0005-0000-0000-000026070000}"/>
    <cellStyle name="Currency 7 17 3 2" xfId="3823" xr:uid="{A18F0136-6BA3-415C-916E-B759C994C0FB}"/>
    <cellStyle name="Currency 7 17 4" xfId="1797" xr:uid="{00000000-0005-0000-0000-000027070000}"/>
    <cellStyle name="Currency 7 17 4 2" xfId="3824" xr:uid="{144BB0D0-1FB2-450B-992B-FA4C47FDD5EE}"/>
    <cellStyle name="Currency 7 17 5" xfId="3821" xr:uid="{603E7AF4-FD24-406B-B91E-AEC921880D94}"/>
    <cellStyle name="Currency 7 18" xfId="1798" xr:uid="{00000000-0005-0000-0000-000028070000}"/>
    <cellStyle name="Currency 7 18 2" xfId="1799" xr:uid="{00000000-0005-0000-0000-000029070000}"/>
    <cellStyle name="Currency 7 18 2 2" xfId="3826" xr:uid="{521A43AE-95A8-423A-8E04-9C2121D0B7CD}"/>
    <cellStyle name="Currency 7 18 3" xfId="1800" xr:uid="{00000000-0005-0000-0000-00002A070000}"/>
    <cellStyle name="Currency 7 18 3 2" xfId="3827" xr:uid="{4A60B336-194D-435A-ADC4-38BCB6F7662D}"/>
    <cellStyle name="Currency 7 18 4" xfId="1801" xr:uid="{00000000-0005-0000-0000-00002B070000}"/>
    <cellStyle name="Currency 7 18 4 2" xfId="3828" xr:uid="{39C851DE-8581-4A3F-B25D-54C893FCF692}"/>
    <cellStyle name="Currency 7 18 5" xfId="3825" xr:uid="{D67BF679-61B0-442A-810C-E6100CE75749}"/>
    <cellStyle name="Currency 7 19" xfId="1802" xr:uid="{00000000-0005-0000-0000-00002C070000}"/>
    <cellStyle name="Currency 7 19 2" xfId="1803" xr:uid="{00000000-0005-0000-0000-00002D070000}"/>
    <cellStyle name="Currency 7 19 2 2" xfId="3830" xr:uid="{68F2375C-AC52-4DA0-BE59-711812F328E5}"/>
    <cellStyle name="Currency 7 19 3" xfId="1804" xr:uid="{00000000-0005-0000-0000-00002E070000}"/>
    <cellStyle name="Currency 7 19 3 2" xfId="3831" xr:uid="{D81F4820-91EF-4646-9FAC-1B749889BC86}"/>
    <cellStyle name="Currency 7 19 4" xfId="1805" xr:uid="{00000000-0005-0000-0000-00002F070000}"/>
    <cellStyle name="Currency 7 19 4 2" xfId="3832" xr:uid="{403D9B92-1F7D-4381-B0B2-8B8331776583}"/>
    <cellStyle name="Currency 7 19 5" xfId="3829" xr:uid="{12B82117-623D-45D8-99A0-03D360D9DE5F}"/>
    <cellStyle name="Currency 7 2" xfId="1806" xr:uid="{00000000-0005-0000-0000-000030070000}"/>
    <cellStyle name="Currency 7 2 2" xfId="1807" xr:uid="{00000000-0005-0000-0000-000031070000}"/>
    <cellStyle name="Currency 7 2 2 2" xfId="3834" xr:uid="{19D87029-6E1B-4EAE-9A9E-6B2F416FFD6A}"/>
    <cellStyle name="Currency 7 2 3" xfId="1808" xr:uid="{00000000-0005-0000-0000-000032070000}"/>
    <cellStyle name="Currency 7 2 3 2" xfId="3835" xr:uid="{0B1A4DF5-EB74-4B4D-80D4-059D7C08109E}"/>
    <cellStyle name="Currency 7 2 4" xfId="1809" xr:uid="{00000000-0005-0000-0000-000033070000}"/>
    <cellStyle name="Currency 7 2 4 2" xfId="3836" xr:uid="{C3A4DCE1-466F-4CFE-938B-E2BF079D0CFC}"/>
    <cellStyle name="Currency 7 2 5" xfId="3833" xr:uid="{FA8B5895-87BC-4285-A658-A5C199038471}"/>
    <cellStyle name="Currency 7 20" xfId="1810" xr:uid="{00000000-0005-0000-0000-000034070000}"/>
    <cellStyle name="Currency 7 20 2" xfId="1811" xr:uid="{00000000-0005-0000-0000-000035070000}"/>
    <cellStyle name="Currency 7 20 2 2" xfId="3838" xr:uid="{DEED8277-5525-48EC-B7C0-CD1C90156308}"/>
    <cellStyle name="Currency 7 20 3" xfId="1812" xr:uid="{00000000-0005-0000-0000-000036070000}"/>
    <cellStyle name="Currency 7 20 3 2" xfId="3839" xr:uid="{F97F4FC9-1D5D-4EE4-AB56-EA9F0DC23D57}"/>
    <cellStyle name="Currency 7 20 4" xfId="1813" xr:uid="{00000000-0005-0000-0000-000037070000}"/>
    <cellStyle name="Currency 7 20 4 2" xfId="3840" xr:uid="{A3B724AF-2AC5-4A2F-9E2D-428C873856E1}"/>
    <cellStyle name="Currency 7 20 5" xfId="3837" xr:uid="{9DBF2F43-4000-4F06-8E79-BD0E6DEAE042}"/>
    <cellStyle name="Currency 7 21" xfId="1814" xr:uid="{00000000-0005-0000-0000-000038070000}"/>
    <cellStyle name="Currency 7 21 2" xfId="1815" xr:uid="{00000000-0005-0000-0000-000039070000}"/>
    <cellStyle name="Currency 7 21 2 2" xfId="3842" xr:uid="{1C881959-9750-483A-B198-03BBE0536414}"/>
    <cellStyle name="Currency 7 21 3" xfId="1816" xr:uid="{00000000-0005-0000-0000-00003A070000}"/>
    <cellStyle name="Currency 7 21 3 2" xfId="3843" xr:uid="{E365C9DC-B42F-496D-BB33-2CFA8E81F55A}"/>
    <cellStyle name="Currency 7 21 4" xfId="1817" xr:uid="{00000000-0005-0000-0000-00003B070000}"/>
    <cellStyle name="Currency 7 21 4 2" xfId="3844" xr:uid="{5A97A2AE-C8F2-48AD-91B0-546619BBD555}"/>
    <cellStyle name="Currency 7 21 5" xfId="3841" xr:uid="{7C6A2381-D093-457C-A1DA-FB9FFD3381B5}"/>
    <cellStyle name="Currency 7 22" xfId="1818" xr:uid="{00000000-0005-0000-0000-00003C070000}"/>
    <cellStyle name="Currency 7 22 2" xfId="3845" xr:uid="{B8421CEF-144F-4889-BC16-FF2AF17724FD}"/>
    <cellStyle name="Currency 7 23" xfId="1819" xr:uid="{00000000-0005-0000-0000-00003D070000}"/>
    <cellStyle name="Currency 7 23 2" xfId="3846" xr:uid="{51C86D9F-466B-481D-B921-8B97EA530AD9}"/>
    <cellStyle name="Currency 7 24" xfId="1820" xr:uid="{00000000-0005-0000-0000-00003E070000}"/>
    <cellStyle name="Currency 7 24 2" xfId="3847" xr:uid="{3922D0E3-A4F7-4A2E-B887-97110339FB34}"/>
    <cellStyle name="Currency 7 25" xfId="3792" xr:uid="{2FC91C67-94B9-47DB-B4CD-BABA34BE6529}"/>
    <cellStyle name="Currency 7 3" xfId="1821" xr:uid="{00000000-0005-0000-0000-00003F070000}"/>
    <cellStyle name="Currency 7 3 2" xfId="1822" xr:uid="{00000000-0005-0000-0000-000040070000}"/>
    <cellStyle name="Currency 7 3 2 2" xfId="3849" xr:uid="{7585F143-7781-4790-9EF7-3E39D9457788}"/>
    <cellStyle name="Currency 7 3 3" xfId="1823" xr:uid="{00000000-0005-0000-0000-000041070000}"/>
    <cellStyle name="Currency 7 3 3 2" xfId="3850" xr:uid="{CD23B02B-6D5E-447A-A683-AA2F85D341EE}"/>
    <cellStyle name="Currency 7 3 4" xfId="1824" xr:uid="{00000000-0005-0000-0000-000042070000}"/>
    <cellStyle name="Currency 7 3 4 2" xfId="3851" xr:uid="{8CF364FB-73E9-43CC-A684-C379CFA80D36}"/>
    <cellStyle name="Currency 7 3 5" xfId="3848" xr:uid="{5A4868E1-52B5-4711-ADE5-739B818493D6}"/>
    <cellStyle name="Currency 7 4" xfId="1825" xr:uid="{00000000-0005-0000-0000-000043070000}"/>
    <cellStyle name="Currency 7 4 2" xfId="1826" xr:uid="{00000000-0005-0000-0000-000044070000}"/>
    <cellStyle name="Currency 7 4 2 2" xfId="3853" xr:uid="{AF799718-93FE-4BC9-A01A-E8A64D744C79}"/>
    <cellStyle name="Currency 7 4 3" xfId="1827" xr:uid="{00000000-0005-0000-0000-000045070000}"/>
    <cellStyle name="Currency 7 4 3 2" xfId="3854" xr:uid="{4AF4773B-7DB0-4922-A936-6218CFB6EFF0}"/>
    <cellStyle name="Currency 7 4 4" xfId="1828" xr:uid="{00000000-0005-0000-0000-000046070000}"/>
    <cellStyle name="Currency 7 4 4 2" xfId="3855" xr:uid="{6BE48855-8034-426E-82DC-ABF8F8500578}"/>
    <cellStyle name="Currency 7 4 5" xfId="3852" xr:uid="{7B2E2D78-C9D4-4BA8-A1FE-399603A40A8E}"/>
    <cellStyle name="Currency 7 5" xfId="1829" xr:uid="{00000000-0005-0000-0000-000047070000}"/>
    <cellStyle name="Currency 7 5 2" xfId="1830" xr:uid="{00000000-0005-0000-0000-000048070000}"/>
    <cellStyle name="Currency 7 5 2 2" xfId="3857" xr:uid="{37AD27BD-969E-44E8-A072-59829FD2E61D}"/>
    <cellStyle name="Currency 7 5 3" xfId="1831" xr:uid="{00000000-0005-0000-0000-000049070000}"/>
    <cellStyle name="Currency 7 5 3 2" xfId="3858" xr:uid="{68340F21-8281-48C5-BDD8-269988A3944A}"/>
    <cellStyle name="Currency 7 5 4" xfId="1832" xr:uid="{00000000-0005-0000-0000-00004A070000}"/>
    <cellStyle name="Currency 7 5 4 2" xfId="3859" xr:uid="{4C0888B7-7127-4237-AE93-51E45CA40077}"/>
    <cellStyle name="Currency 7 5 5" xfId="3856" xr:uid="{8356D8A7-7C67-4B09-9F2C-486C4B79F3DC}"/>
    <cellStyle name="Currency 7 6" xfId="1833" xr:uid="{00000000-0005-0000-0000-00004B070000}"/>
    <cellStyle name="Currency 7 6 2" xfId="1834" xr:uid="{00000000-0005-0000-0000-00004C070000}"/>
    <cellStyle name="Currency 7 6 2 2" xfId="3861" xr:uid="{2DA6AF6C-4091-4D76-9884-AAB75822B155}"/>
    <cellStyle name="Currency 7 6 3" xfId="1835" xr:uid="{00000000-0005-0000-0000-00004D070000}"/>
    <cellStyle name="Currency 7 6 3 2" xfId="3862" xr:uid="{CE05FDE9-DF3F-4AAD-B367-96D7735A4DEA}"/>
    <cellStyle name="Currency 7 6 4" xfId="1836" xr:uid="{00000000-0005-0000-0000-00004E070000}"/>
    <cellStyle name="Currency 7 6 4 2" xfId="3863" xr:uid="{9F7F93AB-8E95-4AAB-B80D-3FDB0FCFB716}"/>
    <cellStyle name="Currency 7 6 5" xfId="3860" xr:uid="{AD1B7B99-F267-4BF5-83CA-C59970C1FF8E}"/>
    <cellStyle name="Currency 7 7" xfId="1837" xr:uid="{00000000-0005-0000-0000-00004F070000}"/>
    <cellStyle name="Currency 7 7 2" xfId="1838" xr:uid="{00000000-0005-0000-0000-000050070000}"/>
    <cellStyle name="Currency 7 7 2 2" xfId="3865" xr:uid="{D4C184B0-C451-4AC1-A443-8BFA4F1BC65B}"/>
    <cellStyle name="Currency 7 7 3" xfId="1839" xr:uid="{00000000-0005-0000-0000-000051070000}"/>
    <cellStyle name="Currency 7 7 3 2" xfId="3866" xr:uid="{D6F894A7-CE37-4A97-BA36-3922293908D1}"/>
    <cellStyle name="Currency 7 7 4" xfId="1840" xr:uid="{00000000-0005-0000-0000-000052070000}"/>
    <cellStyle name="Currency 7 7 4 2" xfId="3867" xr:uid="{413CF38A-DCAC-4AFB-8D1A-EA826CBC8C66}"/>
    <cellStyle name="Currency 7 7 5" xfId="3864" xr:uid="{B852027E-9978-40AA-BF94-4E06A11FBD8B}"/>
    <cellStyle name="Currency 7 8" xfId="1841" xr:uid="{00000000-0005-0000-0000-000053070000}"/>
    <cellStyle name="Currency 7 8 2" xfId="1842" xr:uid="{00000000-0005-0000-0000-000054070000}"/>
    <cellStyle name="Currency 7 8 2 2" xfId="3869" xr:uid="{B58EA460-DFF0-412F-8AF6-A77CA1FFEC62}"/>
    <cellStyle name="Currency 7 8 3" xfId="1843" xr:uid="{00000000-0005-0000-0000-000055070000}"/>
    <cellStyle name="Currency 7 8 3 2" xfId="3870" xr:uid="{4ECEC863-D61F-44C6-98EE-9EB3A96B9C14}"/>
    <cellStyle name="Currency 7 8 4" xfId="1844" xr:uid="{00000000-0005-0000-0000-000056070000}"/>
    <cellStyle name="Currency 7 8 4 2" xfId="3871" xr:uid="{87672981-2995-47D4-9CFC-A5CC365A243B}"/>
    <cellStyle name="Currency 7 8 5" xfId="3868" xr:uid="{C152D5C5-B395-461F-ABBD-469A7E94D083}"/>
    <cellStyle name="Currency 7 9" xfId="1845" xr:uid="{00000000-0005-0000-0000-000057070000}"/>
    <cellStyle name="Currency 7 9 2" xfId="1846" xr:uid="{00000000-0005-0000-0000-000058070000}"/>
    <cellStyle name="Currency 7 9 2 2" xfId="3873" xr:uid="{42C7F893-B4FA-41B7-BD1B-9FD9940955FA}"/>
    <cellStyle name="Currency 7 9 3" xfId="1847" xr:uid="{00000000-0005-0000-0000-000059070000}"/>
    <cellStyle name="Currency 7 9 3 2" xfId="3874" xr:uid="{FE1F4A62-35BC-4DFE-9C51-4BDC90555048}"/>
    <cellStyle name="Currency 7 9 4" xfId="1848" xr:uid="{00000000-0005-0000-0000-00005A070000}"/>
    <cellStyle name="Currency 7 9 4 2" xfId="3875" xr:uid="{0E6A01D2-B6FF-4797-82B3-9C5568EBB161}"/>
    <cellStyle name="Currency 7 9 5" xfId="3872" xr:uid="{7D036F24-D4D6-42A9-9A7E-30A337D3315E}"/>
    <cellStyle name="Currency 8" xfId="1849" xr:uid="{00000000-0005-0000-0000-00005B070000}"/>
    <cellStyle name="Currency 8 10" xfId="1850" xr:uid="{00000000-0005-0000-0000-00005C070000}"/>
    <cellStyle name="Currency 8 10 2" xfId="1851" xr:uid="{00000000-0005-0000-0000-00005D070000}"/>
    <cellStyle name="Currency 8 10 2 2" xfId="3877" xr:uid="{C4FDA8A5-0265-4846-B37B-6117C1343B19}"/>
    <cellStyle name="Currency 8 10 3" xfId="1852" xr:uid="{00000000-0005-0000-0000-00005E070000}"/>
    <cellStyle name="Currency 8 10 3 2" xfId="3878" xr:uid="{98F778B5-5D7F-4599-8409-05BA81CF425E}"/>
    <cellStyle name="Currency 8 10 4" xfId="1853" xr:uid="{00000000-0005-0000-0000-00005F070000}"/>
    <cellStyle name="Currency 8 10 4 2" xfId="3879" xr:uid="{85EAD296-7A3C-4CA6-B748-2F9E922D512B}"/>
    <cellStyle name="Currency 8 10 5" xfId="3876" xr:uid="{4412D1D7-C264-4E42-A8E2-72AE3D3868A6}"/>
    <cellStyle name="Currency 8 11" xfId="1854" xr:uid="{00000000-0005-0000-0000-000060070000}"/>
    <cellStyle name="Currency 8 11 2" xfId="1855" xr:uid="{00000000-0005-0000-0000-000061070000}"/>
    <cellStyle name="Currency 8 11 2 2" xfId="3881" xr:uid="{14E4AD6C-6E4E-4F8A-88D5-D09923F800D5}"/>
    <cellStyle name="Currency 8 11 3" xfId="1856" xr:uid="{00000000-0005-0000-0000-000062070000}"/>
    <cellStyle name="Currency 8 11 3 2" xfId="3882" xr:uid="{71C55138-A0B3-4916-90C0-C44FC6AFBDAF}"/>
    <cellStyle name="Currency 8 11 4" xfId="1857" xr:uid="{00000000-0005-0000-0000-000063070000}"/>
    <cellStyle name="Currency 8 11 4 2" xfId="3883" xr:uid="{C4540FCE-B893-4AA7-B6C7-5EA4712394E7}"/>
    <cellStyle name="Currency 8 11 5" xfId="3880" xr:uid="{12B88631-A358-4AB3-96A0-CE6CA06A7F97}"/>
    <cellStyle name="Currency 8 12" xfId="1858" xr:uid="{00000000-0005-0000-0000-000064070000}"/>
    <cellStyle name="Currency 8 12 2" xfId="1859" xr:uid="{00000000-0005-0000-0000-000065070000}"/>
    <cellStyle name="Currency 8 12 2 2" xfId="3885" xr:uid="{8F30C38D-19E9-4867-A335-60BE54480D2F}"/>
    <cellStyle name="Currency 8 12 3" xfId="1860" xr:uid="{00000000-0005-0000-0000-000066070000}"/>
    <cellStyle name="Currency 8 12 3 2" xfId="3886" xr:uid="{2AFB2F2B-3C0C-41DE-890F-36A3C0096762}"/>
    <cellStyle name="Currency 8 12 4" xfId="1861" xr:uid="{00000000-0005-0000-0000-000067070000}"/>
    <cellStyle name="Currency 8 12 4 2" xfId="3887" xr:uid="{4802D86A-539C-47C1-B4E3-681259210204}"/>
    <cellStyle name="Currency 8 12 5" xfId="3884" xr:uid="{AB22A2FE-55B1-4899-8CF9-8F4F7AE819F4}"/>
    <cellStyle name="Currency 8 13" xfId="1862" xr:uid="{00000000-0005-0000-0000-000068070000}"/>
    <cellStyle name="Currency 8 13 2" xfId="1863" xr:uid="{00000000-0005-0000-0000-000069070000}"/>
    <cellStyle name="Currency 8 13 2 2" xfId="3889" xr:uid="{4D9BB850-6DB5-4F25-88E6-7DDEB912641E}"/>
    <cellStyle name="Currency 8 13 3" xfId="1864" xr:uid="{00000000-0005-0000-0000-00006A070000}"/>
    <cellStyle name="Currency 8 13 3 2" xfId="3890" xr:uid="{840AC8AD-872E-4FD9-888F-357E47B8B7D6}"/>
    <cellStyle name="Currency 8 13 4" xfId="1865" xr:uid="{00000000-0005-0000-0000-00006B070000}"/>
    <cellStyle name="Currency 8 13 4 2" xfId="3891" xr:uid="{B521B9C1-989A-42DE-97FD-11C99E37246B}"/>
    <cellStyle name="Currency 8 13 5" xfId="3888" xr:uid="{979E1DF4-2D7B-4C06-8194-7AC51FDCAB92}"/>
    <cellStyle name="Currency 8 14" xfId="1866" xr:uid="{00000000-0005-0000-0000-00006C070000}"/>
    <cellStyle name="Currency 8 14 2" xfId="1867" xr:uid="{00000000-0005-0000-0000-00006D070000}"/>
    <cellStyle name="Currency 8 14 2 2" xfId="3893" xr:uid="{3DCDB484-3B94-484D-87DD-7B6BBD26BC5C}"/>
    <cellStyle name="Currency 8 14 3" xfId="1868" xr:uid="{00000000-0005-0000-0000-00006E070000}"/>
    <cellStyle name="Currency 8 14 3 2" xfId="3894" xr:uid="{EA092D0D-E6BA-4D59-897F-81CC94B9BA95}"/>
    <cellStyle name="Currency 8 14 4" xfId="1869" xr:uid="{00000000-0005-0000-0000-00006F070000}"/>
    <cellStyle name="Currency 8 14 4 2" xfId="3895" xr:uid="{01C777E8-C2F6-448B-83E6-AFC9808D01B1}"/>
    <cellStyle name="Currency 8 14 5" xfId="3892" xr:uid="{A3920219-604E-48E6-BB23-BB6FE2B49193}"/>
    <cellStyle name="Currency 8 15" xfId="1870" xr:uid="{00000000-0005-0000-0000-000070070000}"/>
    <cellStyle name="Currency 8 15 2" xfId="1871" xr:uid="{00000000-0005-0000-0000-000071070000}"/>
    <cellStyle name="Currency 8 15 2 2" xfId="3897" xr:uid="{CC651CB7-F883-4078-B7CE-17AB6E843361}"/>
    <cellStyle name="Currency 8 15 3" xfId="1872" xr:uid="{00000000-0005-0000-0000-000072070000}"/>
    <cellStyle name="Currency 8 15 3 2" xfId="3898" xr:uid="{F9D8D1F9-075C-4DF8-99D0-DFCB9DCB6DCE}"/>
    <cellStyle name="Currency 8 15 4" xfId="1873" xr:uid="{00000000-0005-0000-0000-000073070000}"/>
    <cellStyle name="Currency 8 15 4 2" xfId="3899" xr:uid="{4EB85492-FDAD-4723-AB27-5EA4C0C6B385}"/>
    <cellStyle name="Currency 8 15 5" xfId="3896" xr:uid="{CB7449BD-09B4-4CC4-B190-D4984E419AEA}"/>
    <cellStyle name="Currency 8 16" xfId="1874" xr:uid="{00000000-0005-0000-0000-000074070000}"/>
    <cellStyle name="Currency 8 16 2" xfId="1875" xr:uid="{00000000-0005-0000-0000-000075070000}"/>
    <cellStyle name="Currency 8 16 2 2" xfId="3901" xr:uid="{4F051A0E-F571-437D-B1B9-E8F46FBF1D79}"/>
    <cellStyle name="Currency 8 16 3" xfId="1876" xr:uid="{00000000-0005-0000-0000-000076070000}"/>
    <cellStyle name="Currency 8 16 3 2" xfId="3902" xr:uid="{7B68AF63-D114-4814-B51C-76CBFEA14276}"/>
    <cellStyle name="Currency 8 16 4" xfId="1877" xr:uid="{00000000-0005-0000-0000-000077070000}"/>
    <cellStyle name="Currency 8 16 4 2" xfId="3903" xr:uid="{594D560B-A390-4329-BCBC-6E312DDDC0A3}"/>
    <cellStyle name="Currency 8 16 5" xfId="3900" xr:uid="{01666688-8031-4F3D-80FC-1866BD874D1B}"/>
    <cellStyle name="Currency 8 17" xfId="1878" xr:uid="{00000000-0005-0000-0000-000078070000}"/>
    <cellStyle name="Currency 8 17 2" xfId="1879" xr:uid="{00000000-0005-0000-0000-000079070000}"/>
    <cellStyle name="Currency 8 17 2 2" xfId="3905" xr:uid="{575CC773-B320-48FD-B36F-BD24712037AD}"/>
    <cellStyle name="Currency 8 17 3" xfId="1880" xr:uid="{00000000-0005-0000-0000-00007A070000}"/>
    <cellStyle name="Currency 8 17 3 2" xfId="3906" xr:uid="{390F00A4-D7C4-4E17-89ED-02CB370792CC}"/>
    <cellStyle name="Currency 8 17 4" xfId="1881" xr:uid="{00000000-0005-0000-0000-00007B070000}"/>
    <cellStyle name="Currency 8 17 4 2" xfId="3907" xr:uid="{5A1D9781-E4F1-4B2A-81D3-4BED730ADE10}"/>
    <cellStyle name="Currency 8 17 5" xfId="3904" xr:uid="{03026575-1771-4337-B8CB-95E766FB4A5B}"/>
    <cellStyle name="Currency 8 18" xfId="1882" xr:uid="{00000000-0005-0000-0000-00007C070000}"/>
    <cellStyle name="Currency 8 18 2" xfId="1883" xr:uid="{00000000-0005-0000-0000-00007D070000}"/>
    <cellStyle name="Currency 8 18 2 2" xfId="3909" xr:uid="{EE54C99C-0917-4806-A33D-82466E6961B6}"/>
    <cellStyle name="Currency 8 18 3" xfId="1884" xr:uid="{00000000-0005-0000-0000-00007E070000}"/>
    <cellStyle name="Currency 8 18 3 2" xfId="3910" xr:uid="{041511CE-3269-4ADE-897D-AAA002BB0119}"/>
    <cellStyle name="Currency 8 18 4" xfId="1885" xr:uid="{00000000-0005-0000-0000-00007F070000}"/>
    <cellStyle name="Currency 8 18 4 2" xfId="3911" xr:uid="{C21A3608-0A40-48A1-B511-8C9CDD2B326A}"/>
    <cellStyle name="Currency 8 18 5" xfId="3908" xr:uid="{A7DBF13D-4874-417A-A498-0A491B12F49E}"/>
    <cellStyle name="Currency 8 19" xfId="1886" xr:uid="{00000000-0005-0000-0000-000080070000}"/>
    <cellStyle name="Currency 8 19 2" xfId="1887" xr:uid="{00000000-0005-0000-0000-000081070000}"/>
    <cellStyle name="Currency 8 19 2 2" xfId="3913" xr:uid="{B855699F-69C5-4B67-AE85-ED48B1250EC9}"/>
    <cellStyle name="Currency 8 19 3" xfId="1888" xr:uid="{00000000-0005-0000-0000-000082070000}"/>
    <cellStyle name="Currency 8 19 3 2" xfId="3914" xr:uid="{C8690290-EBFD-4DB0-B420-F5ED944323F6}"/>
    <cellStyle name="Currency 8 19 4" xfId="1889" xr:uid="{00000000-0005-0000-0000-000083070000}"/>
    <cellStyle name="Currency 8 19 4 2" xfId="3915" xr:uid="{E67AACF1-B240-41DD-971D-93F6DE23026A}"/>
    <cellStyle name="Currency 8 19 5" xfId="3912" xr:uid="{7786275D-C11C-446B-9ABB-CDAE2524E2A0}"/>
    <cellStyle name="Currency 8 2" xfId="1890" xr:uid="{00000000-0005-0000-0000-000084070000}"/>
    <cellStyle name="Currency 8 2 2" xfId="1891" xr:uid="{00000000-0005-0000-0000-000085070000}"/>
    <cellStyle name="Currency 8 2 2 2" xfId="3917" xr:uid="{4384C2BF-AC38-4211-AAEA-683932EC2DAD}"/>
    <cellStyle name="Currency 8 2 3" xfId="1892" xr:uid="{00000000-0005-0000-0000-000086070000}"/>
    <cellStyle name="Currency 8 2 3 2" xfId="3918" xr:uid="{6388F913-F2F1-4615-A944-438076C19959}"/>
    <cellStyle name="Currency 8 2 4" xfId="1893" xr:uid="{00000000-0005-0000-0000-000087070000}"/>
    <cellStyle name="Currency 8 2 4 2" xfId="3919" xr:uid="{C0BB5F96-0D99-4BAC-944D-9A346E2F08CF}"/>
    <cellStyle name="Currency 8 2 5" xfId="3916" xr:uid="{6E0E15D5-89B9-44F7-8196-AB2427D33310}"/>
    <cellStyle name="Currency 8 20" xfId="1894" xr:uid="{00000000-0005-0000-0000-000088070000}"/>
    <cellStyle name="Currency 8 20 2" xfId="1895" xr:uid="{00000000-0005-0000-0000-000089070000}"/>
    <cellStyle name="Currency 8 20 2 2" xfId="3921" xr:uid="{33226DCB-E3B8-4B40-B34D-4CBBEDFD7A8C}"/>
    <cellStyle name="Currency 8 20 3" xfId="1896" xr:uid="{00000000-0005-0000-0000-00008A070000}"/>
    <cellStyle name="Currency 8 20 3 2" xfId="3922" xr:uid="{530C170D-6D94-4C70-92AD-A1BE30F1BC71}"/>
    <cellStyle name="Currency 8 20 4" xfId="1897" xr:uid="{00000000-0005-0000-0000-00008B070000}"/>
    <cellStyle name="Currency 8 20 4 2" xfId="3923" xr:uid="{415BDDFB-590B-46BE-B58D-FCCFB4EBA71C}"/>
    <cellStyle name="Currency 8 20 5" xfId="3920" xr:uid="{B283AC52-4AF0-4712-886F-2C85CB9BBF33}"/>
    <cellStyle name="Currency 8 21" xfId="1898" xr:uid="{00000000-0005-0000-0000-00008C070000}"/>
    <cellStyle name="Currency 8 21 2" xfId="1899" xr:uid="{00000000-0005-0000-0000-00008D070000}"/>
    <cellStyle name="Currency 8 21 2 2" xfId="3925" xr:uid="{22739D95-AC46-4CFB-92BA-CCD8C603A5CE}"/>
    <cellStyle name="Currency 8 21 3" xfId="1900" xr:uid="{00000000-0005-0000-0000-00008E070000}"/>
    <cellStyle name="Currency 8 21 3 2" xfId="3926" xr:uid="{F0A6E74A-7721-44CC-9259-66E8FF1B25C1}"/>
    <cellStyle name="Currency 8 21 4" xfId="3924" xr:uid="{91432275-0A75-4C50-8AF0-C5CDF968A58C}"/>
    <cellStyle name="Currency 8 22" xfId="1901" xr:uid="{00000000-0005-0000-0000-00008F070000}"/>
    <cellStyle name="Currency 8 22 2" xfId="3927" xr:uid="{7DC48EE8-E6F0-4C55-9AC3-4F18DC2B795A}"/>
    <cellStyle name="Currency 8 23" xfId="1902" xr:uid="{00000000-0005-0000-0000-000090070000}"/>
    <cellStyle name="Currency 8 23 2" xfId="3928" xr:uid="{A3B3B6DA-FE60-4828-95AE-31B9697766AF}"/>
    <cellStyle name="Currency 8 24" xfId="1903" xr:uid="{00000000-0005-0000-0000-000091070000}"/>
    <cellStyle name="Currency 8 24 2" xfId="3929" xr:uid="{3F7EF780-38A3-47C6-B1B9-A7DA8868545B}"/>
    <cellStyle name="Currency 8 3" xfId="1904" xr:uid="{00000000-0005-0000-0000-000092070000}"/>
    <cellStyle name="Currency 8 3 2" xfId="1905" xr:uid="{00000000-0005-0000-0000-000093070000}"/>
    <cellStyle name="Currency 8 3 2 2" xfId="3931" xr:uid="{9C4F2FD7-9D27-4F22-A380-4CF854AD8A54}"/>
    <cellStyle name="Currency 8 3 3" xfId="1906" xr:uid="{00000000-0005-0000-0000-000094070000}"/>
    <cellStyle name="Currency 8 3 3 2" xfId="3932" xr:uid="{E990FDE7-6661-484E-8FA9-0B93CFC9FCD8}"/>
    <cellStyle name="Currency 8 3 4" xfId="1907" xr:uid="{00000000-0005-0000-0000-000095070000}"/>
    <cellStyle name="Currency 8 3 4 2" xfId="3933" xr:uid="{D53DA673-2E5E-4B00-90C6-C61E22219EC6}"/>
    <cellStyle name="Currency 8 3 5" xfId="3930" xr:uid="{8CC1FD93-154B-4D0D-A0E7-FE3B9CA35A7D}"/>
    <cellStyle name="Currency 8 4" xfId="1908" xr:uid="{00000000-0005-0000-0000-000096070000}"/>
    <cellStyle name="Currency 8 4 2" xfId="1909" xr:uid="{00000000-0005-0000-0000-000097070000}"/>
    <cellStyle name="Currency 8 4 2 2" xfId="3935" xr:uid="{FEFD5604-B6E1-4992-87DC-901EF065914F}"/>
    <cellStyle name="Currency 8 4 3" xfId="1910" xr:uid="{00000000-0005-0000-0000-000098070000}"/>
    <cellStyle name="Currency 8 4 3 2" xfId="3936" xr:uid="{03379B68-33F7-4C4E-9AD2-C6E4CED744BB}"/>
    <cellStyle name="Currency 8 4 4" xfId="1911" xr:uid="{00000000-0005-0000-0000-000099070000}"/>
    <cellStyle name="Currency 8 4 4 2" xfId="3937" xr:uid="{EA0376D8-FF07-4153-A271-A171BE03339C}"/>
    <cellStyle name="Currency 8 4 5" xfId="3934" xr:uid="{02A6D723-13B0-4BCC-BB97-58BAC344DE8A}"/>
    <cellStyle name="Currency 8 5" xfId="1912" xr:uid="{00000000-0005-0000-0000-00009A070000}"/>
    <cellStyle name="Currency 8 5 2" xfId="1913" xr:uid="{00000000-0005-0000-0000-00009B070000}"/>
    <cellStyle name="Currency 8 5 2 2" xfId="3939" xr:uid="{25F2138C-85FB-4FD6-BAD0-96FBA4B8737B}"/>
    <cellStyle name="Currency 8 5 3" xfId="1914" xr:uid="{00000000-0005-0000-0000-00009C070000}"/>
    <cellStyle name="Currency 8 5 3 2" xfId="3940" xr:uid="{4B22CBB0-3A77-4B57-8308-619682D1B4BF}"/>
    <cellStyle name="Currency 8 5 4" xfId="1915" xr:uid="{00000000-0005-0000-0000-00009D070000}"/>
    <cellStyle name="Currency 8 5 4 2" xfId="3941" xr:uid="{2CE2D7CE-77AD-4CAA-9882-C53499BC6F15}"/>
    <cellStyle name="Currency 8 5 5" xfId="3938" xr:uid="{DBE26CF9-65E1-47D1-839D-BF2BE1C21480}"/>
    <cellStyle name="Currency 8 6" xfId="1916" xr:uid="{00000000-0005-0000-0000-00009E070000}"/>
    <cellStyle name="Currency 8 6 2" xfId="1917" xr:uid="{00000000-0005-0000-0000-00009F070000}"/>
    <cellStyle name="Currency 8 6 2 2" xfId="3943" xr:uid="{CB929084-4790-4646-9139-1B8D7C330DE6}"/>
    <cellStyle name="Currency 8 6 3" xfId="1918" xr:uid="{00000000-0005-0000-0000-0000A0070000}"/>
    <cellStyle name="Currency 8 6 3 2" xfId="3944" xr:uid="{75D5908C-7442-46FE-9C0C-A05E342531D2}"/>
    <cellStyle name="Currency 8 6 4" xfId="1919" xr:uid="{00000000-0005-0000-0000-0000A1070000}"/>
    <cellStyle name="Currency 8 6 4 2" xfId="3945" xr:uid="{4A7C349A-E8DF-43FA-BD33-7DD19615D9F6}"/>
    <cellStyle name="Currency 8 6 5" xfId="3942" xr:uid="{C46C7279-B37D-439E-BC38-AA4E2D718CB0}"/>
    <cellStyle name="Currency 8 7" xfId="1920" xr:uid="{00000000-0005-0000-0000-0000A2070000}"/>
    <cellStyle name="Currency 8 7 2" xfId="1921" xr:uid="{00000000-0005-0000-0000-0000A3070000}"/>
    <cellStyle name="Currency 8 7 2 2" xfId="3947" xr:uid="{580E69FD-98D6-4335-9B66-0190C4996ED2}"/>
    <cellStyle name="Currency 8 7 3" xfId="1922" xr:uid="{00000000-0005-0000-0000-0000A4070000}"/>
    <cellStyle name="Currency 8 7 3 2" xfId="3948" xr:uid="{CF4B32C7-9244-417B-B740-636B4D241C45}"/>
    <cellStyle name="Currency 8 7 4" xfId="1923" xr:uid="{00000000-0005-0000-0000-0000A5070000}"/>
    <cellStyle name="Currency 8 7 4 2" xfId="3949" xr:uid="{08214670-2862-417F-992D-3172459A6459}"/>
    <cellStyle name="Currency 8 7 5" xfId="3946" xr:uid="{A93BF9FB-8DC0-44DE-BBEC-20C728946265}"/>
    <cellStyle name="Currency 8 8" xfId="1924" xr:uid="{00000000-0005-0000-0000-0000A6070000}"/>
    <cellStyle name="Currency 8 8 2" xfId="1925" xr:uid="{00000000-0005-0000-0000-0000A7070000}"/>
    <cellStyle name="Currency 8 8 2 2" xfId="3951" xr:uid="{CEF02E7A-391D-45B1-8A99-331CA37D2346}"/>
    <cellStyle name="Currency 8 8 3" xfId="1926" xr:uid="{00000000-0005-0000-0000-0000A8070000}"/>
    <cellStyle name="Currency 8 8 3 2" xfId="3952" xr:uid="{394E4B11-0C56-427B-AF0E-A980367ABD29}"/>
    <cellStyle name="Currency 8 8 4" xfId="1927" xr:uid="{00000000-0005-0000-0000-0000A9070000}"/>
    <cellStyle name="Currency 8 8 4 2" xfId="3953" xr:uid="{EA2B32AB-EEA9-426A-89D1-4BB4D223768B}"/>
    <cellStyle name="Currency 8 8 5" xfId="3950" xr:uid="{D16FA9FB-9096-4A97-A506-E7810CB15EEC}"/>
    <cellStyle name="Currency 8 9" xfId="1928" xr:uid="{00000000-0005-0000-0000-0000AA070000}"/>
    <cellStyle name="Currency 8 9 2" xfId="1929" xr:uid="{00000000-0005-0000-0000-0000AB070000}"/>
    <cellStyle name="Currency 8 9 2 2" xfId="3955" xr:uid="{60FB9F37-2EE2-4EA2-85A3-4A05BA7CA332}"/>
    <cellStyle name="Currency 8 9 3" xfId="1930" xr:uid="{00000000-0005-0000-0000-0000AC070000}"/>
    <cellStyle name="Currency 8 9 3 2" xfId="3956" xr:uid="{52E81678-360A-4579-8EAF-48ECE0F9F95F}"/>
    <cellStyle name="Currency 8 9 4" xfId="1931" xr:uid="{00000000-0005-0000-0000-0000AD070000}"/>
    <cellStyle name="Currency 8 9 4 2" xfId="3957" xr:uid="{62A0E1E3-981A-47AB-B5F9-5383BCF91536}"/>
    <cellStyle name="Currency 8 9 5" xfId="3954" xr:uid="{F5C90C3D-08C5-4949-9ADB-4284AB60FD79}"/>
    <cellStyle name="Currency 9" xfId="1932" xr:uid="{00000000-0005-0000-0000-0000AE070000}"/>
    <cellStyle name="Currency 9 2" xfId="1933" xr:uid="{00000000-0005-0000-0000-0000AF070000}"/>
    <cellStyle name="Currency 9 2 2" xfId="3959" xr:uid="{CF072D65-B519-47E1-BE30-11187F2CE236}"/>
    <cellStyle name="Currency 9 3" xfId="1934" xr:uid="{00000000-0005-0000-0000-0000B0070000}"/>
    <cellStyle name="Currency 9 3 2" xfId="3960" xr:uid="{5D2F2B3F-348D-4811-BA8F-C5401E95F63A}"/>
    <cellStyle name="Currency 9 4" xfId="1935" xr:uid="{00000000-0005-0000-0000-0000B1070000}"/>
    <cellStyle name="Currency 9 4 2" xfId="3961" xr:uid="{31F482A1-DFFD-41AF-8CCF-9413968D8AD1}"/>
    <cellStyle name="Currency 9 5" xfId="2610" xr:uid="{00000000-0005-0000-0000-0000B2070000}"/>
    <cellStyle name="Currency 9 5 2" xfId="3964" xr:uid="{048B7D69-54C2-4E64-B5FD-68FAD7727715}"/>
    <cellStyle name="Currency 9 6" xfId="3958" xr:uid="{C8A7F0CA-85FF-4E01-A863-AB5EC23E53ED}"/>
    <cellStyle name="Explanatory Text 2" xfId="2594" xr:uid="{00000000-0005-0000-0000-0000B3070000}"/>
    <cellStyle name="Good 2" xfId="2585" xr:uid="{00000000-0005-0000-0000-0000B407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B9070000}"/>
    <cellStyle name="Linked Cell 2" xfId="2591" xr:uid="{00000000-0005-0000-0000-0000BA070000}"/>
    <cellStyle name="Neutral 2" xfId="2587" xr:uid="{00000000-0005-0000-0000-0000BB070000}"/>
    <cellStyle name="Normal" xfId="0" builtinId="0"/>
    <cellStyle name="Normal 10" xfId="1936" xr:uid="{00000000-0005-0000-0000-0000BD070000}"/>
    <cellStyle name="Normal 10 2" xfId="1937" xr:uid="{00000000-0005-0000-0000-0000BE070000}"/>
    <cellStyle name="Normal 10 3" xfId="1938" xr:uid="{00000000-0005-0000-0000-0000BF070000}"/>
    <cellStyle name="Normal 10 4" xfId="1939" xr:uid="{00000000-0005-0000-0000-0000C0070000}"/>
    <cellStyle name="Normal 11" xfId="1940" xr:uid="{00000000-0005-0000-0000-0000C1070000}"/>
    <cellStyle name="Normal 11 2" xfId="1941" xr:uid="{00000000-0005-0000-0000-0000C2070000}"/>
    <cellStyle name="Normal 11 3" xfId="1942" xr:uid="{00000000-0005-0000-0000-0000C3070000}"/>
    <cellStyle name="Normal 11 4" xfId="1943" xr:uid="{00000000-0005-0000-0000-0000C4070000}"/>
    <cellStyle name="Normal 11 4 2" xfId="2642" xr:uid="{00000000-0005-0000-0000-0000C5070000}"/>
    <cellStyle name="Normal 11 4 3" xfId="2630" xr:uid="{00000000-0005-0000-0000-0000C6070000}"/>
    <cellStyle name="Normal 11 5" xfId="2608" xr:uid="{00000000-0005-0000-0000-0000C7070000}"/>
    <cellStyle name="Normal 12" xfId="1944" xr:uid="{00000000-0005-0000-0000-0000C8070000}"/>
    <cellStyle name="Normal 12 2" xfId="1945" xr:uid="{00000000-0005-0000-0000-0000C9070000}"/>
    <cellStyle name="Normal 12 3" xfId="1946" xr:uid="{00000000-0005-0000-0000-0000CA070000}"/>
    <cellStyle name="Normal 12 4" xfId="1947" xr:uid="{00000000-0005-0000-0000-0000CB070000}"/>
    <cellStyle name="Normal 13" xfId="1948" xr:uid="{00000000-0005-0000-0000-0000CC070000}"/>
    <cellStyle name="Normal 13 2" xfId="1949" xr:uid="{00000000-0005-0000-0000-0000CD070000}"/>
    <cellStyle name="Normal 13 3" xfId="1950" xr:uid="{00000000-0005-0000-0000-0000CE070000}"/>
    <cellStyle name="Normal 13 4" xfId="1951" xr:uid="{00000000-0005-0000-0000-0000CF070000}"/>
    <cellStyle name="Normal 14" xfId="1952" xr:uid="{00000000-0005-0000-0000-0000D0070000}"/>
    <cellStyle name="Normal 14 2" xfId="1953" xr:uid="{00000000-0005-0000-0000-0000D1070000}"/>
    <cellStyle name="Normal 14 3" xfId="1954" xr:uid="{00000000-0005-0000-0000-0000D2070000}"/>
    <cellStyle name="Normal 14 4" xfId="1955" xr:uid="{00000000-0005-0000-0000-0000D3070000}"/>
    <cellStyle name="Normal 15" xfId="1956" xr:uid="{00000000-0005-0000-0000-0000D4070000}"/>
    <cellStyle name="Normal 15 2" xfId="1957" xr:uid="{00000000-0005-0000-0000-0000D5070000}"/>
    <cellStyle name="Normal 15 3" xfId="1958" xr:uid="{00000000-0005-0000-0000-0000D6070000}"/>
    <cellStyle name="Normal 15 4" xfId="1959" xr:uid="{00000000-0005-0000-0000-0000D7070000}"/>
    <cellStyle name="Normal 16" xfId="1960" xr:uid="{00000000-0005-0000-0000-0000D8070000}"/>
    <cellStyle name="Normal 16 2" xfId="1961" xr:uid="{00000000-0005-0000-0000-0000D9070000}"/>
    <cellStyle name="Normal 16 3" xfId="1962" xr:uid="{00000000-0005-0000-0000-0000DA070000}"/>
    <cellStyle name="Normal 16 4" xfId="1963" xr:uid="{00000000-0005-0000-0000-0000DB070000}"/>
    <cellStyle name="Normal 17" xfId="1964" xr:uid="{00000000-0005-0000-0000-0000DC070000}"/>
    <cellStyle name="Normal 17 2" xfId="1965" xr:uid="{00000000-0005-0000-0000-0000DD070000}"/>
    <cellStyle name="Normal 17 3" xfId="1966" xr:uid="{00000000-0005-0000-0000-0000DE070000}"/>
    <cellStyle name="Normal 17 4" xfId="1967" xr:uid="{00000000-0005-0000-0000-0000DF070000}"/>
    <cellStyle name="Normal 18" xfId="1968" xr:uid="{00000000-0005-0000-0000-0000E0070000}"/>
    <cellStyle name="Normal 18 2" xfId="1969" xr:uid="{00000000-0005-0000-0000-0000E1070000}"/>
    <cellStyle name="Normal 18 3" xfId="1970" xr:uid="{00000000-0005-0000-0000-0000E2070000}"/>
    <cellStyle name="Normal 18 4" xfId="1971" xr:uid="{00000000-0005-0000-0000-0000E3070000}"/>
    <cellStyle name="Normal 19" xfId="1972" xr:uid="{00000000-0005-0000-0000-0000E4070000}"/>
    <cellStyle name="Normal 19 2" xfId="1973" xr:uid="{00000000-0005-0000-0000-0000E5070000}"/>
    <cellStyle name="Normal 19 3" xfId="1974" xr:uid="{00000000-0005-0000-0000-0000E6070000}"/>
    <cellStyle name="Normal 19 4" xfId="1975" xr:uid="{00000000-0005-0000-0000-0000E7070000}"/>
    <cellStyle name="Normal 2" xfId="1" xr:uid="{00000000-0005-0000-0000-0000E8070000}"/>
    <cellStyle name="Normal 2 2" xfId="1977" xr:uid="{00000000-0005-0000-0000-0000E9070000}"/>
    <cellStyle name="Normal 2 2 2" xfId="2617" xr:uid="{00000000-0005-0000-0000-0000EA070000}"/>
    <cellStyle name="Normal 2 2 3" xfId="2613" xr:uid="{00000000-0005-0000-0000-0000EB070000}"/>
    <cellStyle name="Normal 2 3" xfId="1978" xr:uid="{00000000-0005-0000-0000-0000EC070000}"/>
    <cellStyle name="Normal 2 3 2" xfId="1979" xr:uid="{00000000-0005-0000-0000-0000ED070000}"/>
    <cellStyle name="Normal 2 4" xfId="2616" xr:uid="{00000000-0005-0000-0000-0000EE070000}"/>
    <cellStyle name="Normal 2 5" xfId="2611" xr:uid="{00000000-0005-0000-0000-0000EF070000}"/>
    <cellStyle name="Normal 2 6" xfId="1976" xr:uid="{00000000-0005-0000-0000-0000F0070000}"/>
    <cellStyle name="Normal 2 6 2" xfId="3989" xr:uid="{54B71AFF-5D44-4505-88D3-28AB78B24A6F}"/>
    <cellStyle name="Normal 20" xfId="1980" xr:uid="{00000000-0005-0000-0000-0000F1070000}"/>
    <cellStyle name="Normal 20 2" xfId="1981" xr:uid="{00000000-0005-0000-0000-0000F2070000}"/>
    <cellStyle name="Normal 20 3" xfId="1982" xr:uid="{00000000-0005-0000-0000-0000F3070000}"/>
    <cellStyle name="Normal 20 4" xfId="1983" xr:uid="{00000000-0005-0000-0000-0000F4070000}"/>
    <cellStyle name="Normal 21" xfId="1984" xr:uid="{00000000-0005-0000-0000-0000F5070000}"/>
    <cellStyle name="Normal 21 2" xfId="1985" xr:uid="{00000000-0005-0000-0000-0000F6070000}"/>
    <cellStyle name="Normal 21 3" xfId="1986" xr:uid="{00000000-0005-0000-0000-0000F7070000}"/>
    <cellStyle name="Normal 21 4" xfId="1987" xr:uid="{00000000-0005-0000-0000-0000F8070000}"/>
    <cellStyle name="Normal 22" xfId="1988" xr:uid="{00000000-0005-0000-0000-0000F9070000}"/>
    <cellStyle name="Normal 22 2" xfId="1989" xr:uid="{00000000-0005-0000-0000-0000FA070000}"/>
    <cellStyle name="Normal 22 3" xfId="1990" xr:uid="{00000000-0005-0000-0000-0000FB070000}"/>
    <cellStyle name="Normal 22 4" xfId="1991" xr:uid="{00000000-0005-0000-0000-0000FC070000}"/>
    <cellStyle name="Normal 23" xfId="1992" xr:uid="{00000000-0005-0000-0000-0000FD070000}"/>
    <cellStyle name="Normal 23 2" xfId="1993" xr:uid="{00000000-0005-0000-0000-0000FE070000}"/>
    <cellStyle name="Normal 23 3" xfId="1994" xr:uid="{00000000-0005-0000-0000-0000FF070000}"/>
    <cellStyle name="Normal 23 4" xfId="1995" xr:uid="{00000000-0005-0000-0000-000000080000}"/>
    <cellStyle name="Normal 24" xfId="1996" xr:uid="{00000000-0005-0000-0000-000001080000}"/>
    <cellStyle name="Normal 24 2" xfId="1997" xr:uid="{00000000-0005-0000-0000-000002080000}"/>
    <cellStyle name="Normal 24 3" xfId="1998" xr:uid="{00000000-0005-0000-0000-000003080000}"/>
    <cellStyle name="Normal 24 4" xfId="1999" xr:uid="{00000000-0005-0000-0000-000004080000}"/>
    <cellStyle name="Normal 25" xfId="2000" xr:uid="{00000000-0005-0000-0000-000005080000}"/>
    <cellStyle name="Normal 25 2" xfId="2001" xr:uid="{00000000-0005-0000-0000-000006080000}"/>
    <cellStyle name="Normal 25 3" xfId="2002" xr:uid="{00000000-0005-0000-0000-000007080000}"/>
    <cellStyle name="Normal 25 4" xfId="2003" xr:uid="{00000000-0005-0000-0000-000008080000}"/>
    <cellStyle name="Normal 26" xfId="2004" xr:uid="{00000000-0005-0000-0000-000009080000}"/>
    <cellStyle name="Normal 26 2" xfId="2005" xr:uid="{00000000-0005-0000-0000-00000A080000}"/>
    <cellStyle name="Normal 26 3" xfId="2006" xr:uid="{00000000-0005-0000-0000-00000B080000}"/>
    <cellStyle name="Normal 26 4" xfId="2007" xr:uid="{00000000-0005-0000-0000-00000C080000}"/>
    <cellStyle name="Normal 27" xfId="2008" xr:uid="{00000000-0005-0000-0000-00000D080000}"/>
    <cellStyle name="Normal 27 2" xfId="2009" xr:uid="{00000000-0005-0000-0000-00000E080000}"/>
    <cellStyle name="Normal 27 3" xfId="2010" xr:uid="{00000000-0005-0000-0000-00000F080000}"/>
    <cellStyle name="Normal 27 4" xfId="2011" xr:uid="{00000000-0005-0000-0000-000010080000}"/>
    <cellStyle name="Normal 28" xfId="2012" xr:uid="{00000000-0005-0000-0000-000011080000}"/>
    <cellStyle name="Normal 28 2" xfId="2013" xr:uid="{00000000-0005-0000-0000-000012080000}"/>
    <cellStyle name="Normal 28 3" xfId="2014" xr:uid="{00000000-0005-0000-0000-000013080000}"/>
    <cellStyle name="Normal 28 4" xfId="2015" xr:uid="{00000000-0005-0000-0000-000014080000}"/>
    <cellStyle name="Normal 29" xfId="2016" xr:uid="{00000000-0005-0000-0000-000015080000}"/>
    <cellStyle name="Normal 29 2" xfId="2017" xr:uid="{00000000-0005-0000-0000-000016080000}"/>
    <cellStyle name="Normal 29 3" xfId="2018" xr:uid="{00000000-0005-0000-0000-000017080000}"/>
    <cellStyle name="Normal 29 4" xfId="2019" xr:uid="{00000000-0005-0000-0000-000018080000}"/>
    <cellStyle name="Normal 3" xfId="3" xr:uid="{00000000-0005-0000-0000-000019080000}"/>
    <cellStyle name="Normal 3 10" xfId="2021" xr:uid="{00000000-0005-0000-0000-00001A080000}"/>
    <cellStyle name="Normal 3 10 2" xfId="2022" xr:uid="{00000000-0005-0000-0000-00001B080000}"/>
    <cellStyle name="Normal 3 10 3" xfId="2023" xr:uid="{00000000-0005-0000-0000-00001C080000}"/>
    <cellStyle name="Normal 3 10 4" xfId="2024" xr:uid="{00000000-0005-0000-0000-00001D080000}"/>
    <cellStyle name="Normal 3 11" xfId="2025" xr:uid="{00000000-0005-0000-0000-00001E080000}"/>
    <cellStyle name="Normal 3 11 2" xfId="2026" xr:uid="{00000000-0005-0000-0000-00001F080000}"/>
    <cellStyle name="Normal 3 11 3" xfId="2027" xr:uid="{00000000-0005-0000-0000-000020080000}"/>
    <cellStyle name="Normal 3 11 4" xfId="2028" xr:uid="{00000000-0005-0000-0000-000021080000}"/>
    <cellStyle name="Normal 3 12" xfId="2029" xr:uid="{00000000-0005-0000-0000-000022080000}"/>
    <cellStyle name="Normal 3 12 2" xfId="2030" xr:uid="{00000000-0005-0000-0000-000023080000}"/>
    <cellStyle name="Normal 3 12 3" xfId="2031" xr:uid="{00000000-0005-0000-0000-000024080000}"/>
    <cellStyle name="Normal 3 12 4" xfId="2032" xr:uid="{00000000-0005-0000-0000-000025080000}"/>
    <cellStyle name="Normal 3 13" xfId="2033" xr:uid="{00000000-0005-0000-0000-000026080000}"/>
    <cellStyle name="Normal 3 13 2" xfId="2034" xr:uid="{00000000-0005-0000-0000-000027080000}"/>
    <cellStyle name="Normal 3 13 3" xfId="2035" xr:uid="{00000000-0005-0000-0000-000028080000}"/>
    <cellStyle name="Normal 3 13 4" xfId="2036" xr:uid="{00000000-0005-0000-0000-000029080000}"/>
    <cellStyle name="Normal 3 14" xfId="2037" xr:uid="{00000000-0005-0000-0000-00002A080000}"/>
    <cellStyle name="Normal 3 14 2" xfId="2038" xr:uid="{00000000-0005-0000-0000-00002B080000}"/>
    <cellStyle name="Normal 3 14 3" xfId="2039" xr:uid="{00000000-0005-0000-0000-00002C080000}"/>
    <cellStyle name="Normal 3 14 4" xfId="2040" xr:uid="{00000000-0005-0000-0000-00002D080000}"/>
    <cellStyle name="Normal 3 15" xfId="2041" xr:uid="{00000000-0005-0000-0000-00002E080000}"/>
    <cellStyle name="Normal 3 15 2" xfId="2042" xr:uid="{00000000-0005-0000-0000-00002F080000}"/>
    <cellStyle name="Normal 3 15 3" xfId="2043" xr:uid="{00000000-0005-0000-0000-000030080000}"/>
    <cellStyle name="Normal 3 15 4" xfId="2044" xr:uid="{00000000-0005-0000-0000-000031080000}"/>
    <cellStyle name="Normal 3 16" xfId="2045" xr:uid="{00000000-0005-0000-0000-000032080000}"/>
    <cellStyle name="Normal 3 16 2" xfId="2046" xr:uid="{00000000-0005-0000-0000-000033080000}"/>
    <cellStyle name="Normal 3 16 3" xfId="2047" xr:uid="{00000000-0005-0000-0000-000034080000}"/>
    <cellStyle name="Normal 3 16 4" xfId="2048" xr:uid="{00000000-0005-0000-0000-000035080000}"/>
    <cellStyle name="Normal 3 17" xfId="2049" xr:uid="{00000000-0005-0000-0000-000036080000}"/>
    <cellStyle name="Normal 3 17 2" xfId="2050" xr:uid="{00000000-0005-0000-0000-000037080000}"/>
    <cellStyle name="Normal 3 17 3" xfId="2051" xr:uid="{00000000-0005-0000-0000-000038080000}"/>
    <cellStyle name="Normal 3 17 4" xfId="2052" xr:uid="{00000000-0005-0000-0000-000039080000}"/>
    <cellStyle name="Normal 3 18" xfId="2053" xr:uid="{00000000-0005-0000-0000-00003A080000}"/>
    <cellStyle name="Normal 3 18 2" xfId="2054" xr:uid="{00000000-0005-0000-0000-00003B080000}"/>
    <cellStyle name="Normal 3 18 3" xfId="2055" xr:uid="{00000000-0005-0000-0000-00003C080000}"/>
    <cellStyle name="Normal 3 18 4" xfId="2056" xr:uid="{00000000-0005-0000-0000-00003D080000}"/>
    <cellStyle name="Normal 3 19" xfId="2057" xr:uid="{00000000-0005-0000-0000-00003E080000}"/>
    <cellStyle name="Normal 3 19 2" xfId="2058" xr:uid="{00000000-0005-0000-0000-00003F080000}"/>
    <cellStyle name="Normal 3 19 3" xfId="2059" xr:uid="{00000000-0005-0000-0000-000040080000}"/>
    <cellStyle name="Normal 3 19 4" xfId="2060" xr:uid="{00000000-0005-0000-0000-000041080000}"/>
    <cellStyle name="Normal 3 2" xfId="2061" xr:uid="{00000000-0005-0000-0000-000042080000}"/>
    <cellStyle name="Normal 3 2 2" xfId="2062" xr:uid="{00000000-0005-0000-0000-000043080000}"/>
    <cellStyle name="Normal 3 2 3" xfId="2063" xr:uid="{00000000-0005-0000-0000-000044080000}"/>
    <cellStyle name="Normal 3 2 3 2" xfId="2064" xr:uid="{00000000-0005-0000-0000-000045080000}"/>
    <cellStyle name="Normal 3 2 3 3" xfId="2065" xr:uid="{00000000-0005-0000-0000-000046080000}"/>
    <cellStyle name="Normal 3 20" xfId="2066" xr:uid="{00000000-0005-0000-0000-000047080000}"/>
    <cellStyle name="Normal 3 20 2" xfId="2067" xr:uid="{00000000-0005-0000-0000-000048080000}"/>
    <cellStyle name="Normal 3 20 3" xfId="2068" xr:uid="{00000000-0005-0000-0000-000049080000}"/>
    <cellStyle name="Normal 3 20 4" xfId="2069" xr:uid="{00000000-0005-0000-0000-00004A080000}"/>
    <cellStyle name="Normal 3 21" xfId="2070" xr:uid="{00000000-0005-0000-0000-00004B080000}"/>
    <cellStyle name="Normal 3 21 2" xfId="2071" xr:uid="{00000000-0005-0000-0000-00004C080000}"/>
    <cellStyle name="Normal 3 21 3" xfId="2072" xr:uid="{00000000-0005-0000-0000-00004D080000}"/>
    <cellStyle name="Normal 3 21 4" xfId="2073" xr:uid="{00000000-0005-0000-0000-00004E080000}"/>
    <cellStyle name="Normal 3 22" xfId="2074" xr:uid="{00000000-0005-0000-0000-00004F080000}"/>
    <cellStyle name="Normal 3 23" xfId="2075" xr:uid="{00000000-0005-0000-0000-000050080000}"/>
    <cellStyle name="Normal 3 24" xfId="2076" xr:uid="{00000000-0005-0000-0000-000051080000}"/>
    <cellStyle name="Normal 3 25" xfId="2020" xr:uid="{00000000-0005-0000-0000-000052080000}"/>
    <cellStyle name="Normal 3 3" xfId="2077" xr:uid="{00000000-0005-0000-0000-000053080000}"/>
    <cellStyle name="Normal 3 3 2" xfId="2078" xr:uid="{00000000-0005-0000-0000-000054080000}"/>
    <cellStyle name="Normal 3 3 3" xfId="2079" xr:uid="{00000000-0005-0000-0000-000055080000}"/>
    <cellStyle name="Normal 3 3 4" xfId="2080" xr:uid="{00000000-0005-0000-0000-000056080000}"/>
    <cellStyle name="Normal 3 4" xfId="2081" xr:uid="{00000000-0005-0000-0000-000057080000}"/>
    <cellStyle name="Normal 3 4 2" xfId="2082" xr:uid="{00000000-0005-0000-0000-000058080000}"/>
    <cellStyle name="Normal 3 4 3" xfId="2083" xr:uid="{00000000-0005-0000-0000-000059080000}"/>
    <cellStyle name="Normal 3 4 4" xfId="2084" xr:uid="{00000000-0005-0000-0000-00005A080000}"/>
    <cellStyle name="Normal 3 5" xfId="2085" xr:uid="{00000000-0005-0000-0000-00005B080000}"/>
    <cellStyle name="Normal 3 5 2" xfId="2086" xr:uid="{00000000-0005-0000-0000-00005C080000}"/>
    <cellStyle name="Normal 3 5 3" xfId="2087" xr:uid="{00000000-0005-0000-0000-00005D080000}"/>
    <cellStyle name="Normal 3 5 4" xfId="2088" xr:uid="{00000000-0005-0000-0000-00005E080000}"/>
    <cellStyle name="Normal 3 6" xfId="2089" xr:uid="{00000000-0005-0000-0000-00005F080000}"/>
    <cellStyle name="Normal 3 6 2" xfId="2090" xr:uid="{00000000-0005-0000-0000-000060080000}"/>
    <cellStyle name="Normal 3 6 3" xfId="2091" xr:uid="{00000000-0005-0000-0000-000061080000}"/>
    <cellStyle name="Normal 3 6 4" xfId="2092" xr:uid="{00000000-0005-0000-0000-000062080000}"/>
    <cellStyle name="Normal 3 7" xfId="2093" xr:uid="{00000000-0005-0000-0000-000063080000}"/>
    <cellStyle name="Normal 3 7 2" xfId="2094" xr:uid="{00000000-0005-0000-0000-000064080000}"/>
    <cellStyle name="Normal 3 7 3" xfId="2095" xr:uid="{00000000-0005-0000-0000-000065080000}"/>
    <cellStyle name="Normal 3 7 4" xfId="2096" xr:uid="{00000000-0005-0000-0000-000066080000}"/>
    <cellStyle name="Normal 3 8" xfId="2097" xr:uid="{00000000-0005-0000-0000-000067080000}"/>
    <cellStyle name="Normal 3 8 2" xfId="2098" xr:uid="{00000000-0005-0000-0000-000068080000}"/>
    <cellStyle name="Normal 3 8 3" xfId="2099" xr:uid="{00000000-0005-0000-0000-000069080000}"/>
    <cellStyle name="Normal 3 8 4" xfId="2100" xr:uid="{00000000-0005-0000-0000-00006A080000}"/>
    <cellStyle name="Normal 3 9" xfId="2101" xr:uid="{00000000-0005-0000-0000-00006B080000}"/>
    <cellStyle name="Normal 3 9 2" xfId="2102" xr:uid="{00000000-0005-0000-0000-00006C080000}"/>
    <cellStyle name="Normal 3 9 3" xfId="2103" xr:uid="{00000000-0005-0000-0000-00006D080000}"/>
    <cellStyle name="Normal 3 9 4" xfId="2104" xr:uid="{00000000-0005-0000-0000-00006E080000}"/>
    <cellStyle name="Normal 30" xfId="2105" xr:uid="{00000000-0005-0000-0000-00006F080000}"/>
    <cellStyle name="Normal 31" xfId="2106" xr:uid="{00000000-0005-0000-0000-000070080000}"/>
    <cellStyle name="Normal 32" xfId="15" xr:uid="{00000000-0005-0000-0000-000071080000}"/>
    <cellStyle name="Normal 32 2" xfId="2638" xr:uid="{00000000-0005-0000-0000-000072080000}"/>
    <cellStyle name="Normal 32 3" xfId="2657" xr:uid="{9BFC4683-5141-4308-94DE-7A300B64D0AF}"/>
    <cellStyle name="Normal 33" xfId="2107" xr:uid="{00000000-0005-0000-0000-000073080000}"/>
    <cellStyle name="Normal 34" xfId="2627" xr:uid="{00000000-0005-0000-0000-000074080000}"/>
    <cellStyle name="Normal 35" xfId="2646" xr:uid="{00000000-0005-0000-0000-000075080000}"/>
    <cellStyle name="Normal 35 2" xfId="2653" xr:uid="{00000000-0005-0000-0000-000076080000}"/>
    <cellStyle name="Normal 36" xfId="2649" xr:uid="{00000000-0005-0000-0000-000077080000}"/>
    <cellStyle name="Normal 37" xfId="10" xr:uid="{00000000-0005-0000-0000-000078080000}"/>
    <cellStyle name="Normal 37 2" xfId="3986" xr:uid="{47DF5BB0-CF13-402E-A4C8-59FAA9EFDB00}"/>
    <cellStyle name="Normal 38" xfId="3987" xr:uid="{62B67250-7911-48A8-8176-07987F3A7F79}"/>
    <cellStyle name="Normal 39" xfId="3988" xr:uid="{2FC87BFB-4F28-4E63-B27F-09050C21EAB8}"/>
    <cellStyle name="Normal 4" xfId="2108" xr:uid="{00000000-0005-0000-0000-000079080000}"/>
    <cellStyle name="Normal 4 10" xfId="2109" xr:uid="{00000000-0005-0000-0000-00007A080000}"/>
    <cellStyle name="Normal 4 10 2" xfId="2110" xr:uid="{00000000-0005-0000-0000-00007B080000}"/>
    <cellStyle name="Normal 4 10 3" xfId="2111" xr:uid="{00000000-0005-0000-0000-00007C080000}"/>
    <cellStyle name="Normal 4 10 4" xfId="2112" xr:uid="{00000000-0005-0000-0000-00007D080000}"/>
    <cellStyle name="Normal 4 11" xfId="2113" xr:uid="{00000000-0005-0000-0000-00007E080000}"/>
    <cellStyle name="Normal 4 11 2" xfId="2114" xr:uid="{00000000-0005-0000-0000-00007F080000}"/>
    <cellStyle name="Normal 4 11 3" xfId="2115" xr:uid="{00000000-0005-0000-0000-000080080000}"/>
    <cellStyle name="Normal 4 11 4" xfId="2116" xr:uid="{00000000-0005-0000-0000-000081080000}"/>
    <cellStyle name="Normal 4 12" xfId="2117" xr:uid="{00000000-0005-0000-0000-000082080000}"/>
    <cellStyle name="Normal 4 12 2" xfId="2118" xr:uid="{00000000-0005-0000-0000-000083080000}"/>
    <cellStyle name="Normal 4 12 3" xfId="2119" xr:uid="{00000000-0005-0000-0000-000084080000}"/>
    <cellStyle name="Normal 4 12 4" xfId="2120" xr:uid="{00000000-0005-0000-0000-000085080000}"/>
    <cellStyle name="Normal 4 13" xfId="2121" xr:uid="{00000000-0005-0000-0000-000086080000}"/>
    <cellStyle name="Normal 4 13 2" xfId="2122" xr:uid="{00000000-0005-0000-0000-000087080000}"/>
    <cellStyle name="Normal 4 13 3" xfId="2123" xr:uid="{00000000-0005-0000-0000-000088080000}"/>
    <cellStyle name="Normal 4 13 4" xfId="2124" xr:uid="{00000000-0005-0000-0000-000089080000}"/>
    <cellStyle name="Normal 4 14" xfId="2125" xr:uid="{00000000-0005-0000-0000-00008A080000}"/>
    <cellStyle name="Normal 4 14 2" xfId="2126" xr:uid="{00000000-0005-0000-0000-00008B080000}"/>
    <cellStyle name="Normal 4 14 3" xfId="2127" xr:uid="{00000000-0005-0000-0000-00008C080000}"/>
    <cellStyle name="Normal 4 14 4" xfId="2128" xr:uid="{00000000-0005-0000-0000-00008D080000}"/>
    <cellStyle name="Normal 4 15" xfId="2129" xr:uid="{00000000-0005-0000-0000-00008E080000}"/>
    <cellStyle name="Normal 4 15 2" xfId="2130" xr:uid="{00000000-0005-0000-0000-00008F080000}"/>
    <cellStyle name="Normal 4 15 3" xfId="2131" xr:uid="{00000000-0005-0000-0000-000090080000}"/>
    <cellStyle name="Normal 4 15 4" xfId="2132" xr:uid="{00000000-0005-0000-0000-000091080000}"/>
    <cellStyle name="Normal 4 16" xfId="2133" xr:uid="{00000000-0005-0000-0000-000092080000}"/>
    <cellStyle name="Normal 4 16 2" xfId="2134" xr:uid="{00000000-0005-0000-0000-000093080000}"/>
    <cellStyle name="Normal 4 16 3" xfId="2135" xr:uid="{00000000-0005-0000-0000-000094080000}"/>
    <cellStyle name="Normal 4 16 4" xfId="2136" xr:uid="{00000000-0005-0000-0000-000095080000}"/>
    <cellStyle name="Normal 4 17" xfId="2137" xr:uid="{00000000-0005-0000-0000-000096080000}"/>
    <cellStyle name="Normal 4 17 2" xfId="2138" xr:uid="{00000000-0005-0000-0000-000097080000}"/>
    <cellStyle name="Normal 4 17 3" xfId="2139" xr:uid="{00000000-0005-0000-0000-000098080000}"/>
    <cellStyle name="Normal 4 17 4" xfId="2140" xr:uid="{00000000-0005-0000-0000-000099080000}"/>
    <cellStyle name="Normal 4 18" xfId="2141" xr:uid="{00000000-0005-0000-0000-00009A080000}"/>
    <cellStyle name="Normal 4 18 2" xfId="2142" xr:uid="{00000000-0005-0000-0000-00009B080000}"/>
    <cellStyle name="Normal 4 18 3" xfId="2143" xr:uid="{00000000-0005-0000-0000-00009C080000}"/>
    <cellStyle name="Normal 4 18 4" xfId="2144" xr:uid="{00000000-0005-0000-0000-00009D080000}"/>
    <cellStyle name="Normal 4 19" xfId="2145" xr:uid="{00000000-0005-0000-0000-00009E080000}"/>
    <cellStyle name="Normal 4 19 2" xfId="2146" xr:uid="{00000000-0005-0000-0000-00009F080000}"/>
    <cellStyle name="Normal 4 19 3" xfId="2147" xr:uid="{00000000-0005-0000-0000-0000A0080000}"/>
    <cellStyle name="Normal 4 19 4" xfId="2148" xr:uid="{00000000-0005-0000-0000-0000A1080000}"/>
    <cellStyle name="Normal 4 2" xfId="2149" xr:uid="{00000000-0005-0000-0000-0000A2080000}"/>
    <cellStyle name="Normal 4 2 2" xfId="2150" xr:uid="{00000000-0005-0000-0000-0000A3080000}"/>
    <cellStyle name="Normal 4 2 3" xfId="2151" xr:uid="{00000000-0005-0000-0000-0000A4080000}"/>
    <cellStyle name="Normal 4 2 4" xfId="2152" xr:uid="{00000000-0005-0000-0000-0000A5080000}"/>
    <cellStyle name="Normal 4 20" xfId="2153" xr:uid="{00000000-0005-0000-0000-0000A6080000}"/>
    <cellStyle name="Normal 4 20 2" xfId="2154" xr:uid="{00000000-0005-0000-0000-0000A7080000}"/>
    <cellStyle name="Normal 4 20 3" xfId="2155" xr:uid="{00000000-0005-0000-0000-0000A8080000}"/>
    <cellStyle name="Normal 4 20 4" xfId="2156" xr:uid="{00000000-0005-0000-0000-0000A9080000}"/>
    <cellStyle name="Normal 4 21" xfId="2157" xr:uid="{00000000-0005-0000-0000-0000AA080000}"/>
    <cellStyle name="Normal 4 21 2" xfId="2158" xr:uid="{00000000-0005-0000-0000-0000AB080000}"/>
    <cellStyle name="Normal 4 21 3" xfId="2159" xr:uid="{00000000-0005-0000-0000-0000AC080000}"/>
    <cellStyle name="Normal 4 21 4" xfId="2160" xr:uid="{00000000-0005-0000-0000-0000AD080000}"/>
    <cellStyle name="Normal 4 22" xfId="2161" xr:uid="{00000000-0005-0000-0000-0000AE080000}"/>
    <cellStyle name="Normal 4 23" xfId="2162" xr:uid="{00000000-0005-0000-0000-0000AF080000}"/>
    <cellStyle name="Normal 4 24" xfId="2163" xr:uid="{00000000-0005-0000-0000-0000B0080000}"/>
    <cellStyle name="Normal 4 3" xfId="2164" xr:uid="{00000000-0005-0000-0000-0000B1080000}"/>
    <cellStyle name="Normal 4 3 2" xfId="2165" xr:uid="{00000000-0005-0000-0000-0000B2080000}"/>
    <cellStyle name="Normal 4 3 3" xfId="2166" xr:uid="{00000000-0005-0000-0000-0000B3080000}"/>
    <cellStyle name="Normal 4 3 4" xfId="2167" xr:uid="{00000000-0005-0000-0000-0000B4080000}"/>
    <cellStyle name="Normal 4 4" xfId="2168" xr:uid="{00000000-0005-0000-0000-0000B5080000}"/>
    <cellStyle name="Normal 4 4 2" xfId="2169" xr:uid="{00000000-0005-0000-0000-0000B6080000}"/>
    <cellStyle name="Normal 4 4 3" xfId="2170" xr:uid="{00000000-0005-0000-0000-0000B7080000}"/>
    <cellStyle name="Normal 4 4 4" xfId="2171" xr:uid="{00000000-0005-0000-0000-0000B8080000}"/>
    <cellStyle name="Normal 4 5" xfId="2172" xr:uid="{00000000-0005-0000-0000-0000B9080000}"/>
    <cellStyle name="Normal 4 5 2" xfId="2173" xr:uid="{00000000-0005-0000-0000-0000BA080000}"/>
    <cellStyle name="Normal 4 5 3" xfId="2174" xr:uid="{00000000-0005-0000-0000-0000BB080000}"/>
    <cellStyle name="Normal 4 5 4" xfId="2175" xr:uid="{00000000-0005-0000-0000-0000BC080000}"/>
    <cellStyle name="Normal 4 6" xfId="2176" xr:uid="{00000000-0005-0000-0000-0000BD080000}"/>
    <cellStyle name="Normal 4 6 2" xfId="2177" xr:uid="{00000000-0005-0000-0000-0000BE080000}"/>
    <cellStyle name="Normal 4 6 3" xfId="2178" xr:uid="{00000000-0005-0000-0000-0000BF080000}"/>
    <cellStyle name="Normal 4 6 4" xfId="2179" xr:uid="{00000000-0005-0000-0000-0000C0080000}"/>
    <cellStyle name="Normal 4 7" xfId="2180" xr:uid="{00000000-0005-0000-0000-0000C1080000}"/>
    <cellStyle name="Normal 4 7 2" xfId="2181" xr:uid="{00000000-0005-0000-0000-0000C2080000}"/>
    <cellStyle name="Normal 4 7 3" xfId="2182" xr:uid="{00000000-0005-0000-0000-0000C3080000}"/>
    <cellStyle name="Normal 4 7 4" xfId="2183" xr:uid="{00000000-0005-0000-0000-0000C4080000}"/>
    <cellStyle name="Normal 4 8" xfId="2184" xr:uid="{00000000-0005-0000-0000-0000C5080000}"/>
    <cellStyle name="Normal 4 8 2" xfId="2185" xr:uid="{00000000-0005-0000-0000-0000C6080000}"/>
    <cellStyle name="Normal 4 8 3" xfId="2186" xr:uid="{00000000-0005-0000-0000-0000C7080000}"/>
    <cellStyle name="Normal 4 8 4" xfId="2187" xr:uid="{00000000-0005-0000-0000-0000C8080000}"/>
    <cellStyle name="Normal 4 9" xfId="2188" xr:uid="{00000000-0005-0000-0000-0000C9080000}"/>
    <cellStyle name="Normal 4 9 2" xfId="2189" xr:uid="{00000000-0005-0000-0000-0000CA080000}"/>
    <cellStyle name="Normal 4 9 3" xfId="2190" xr:uid="{00000000-0005-0000-0000-0000CB080000}"/>
    <cellStyle name="Normal 4 9 4" xfId="2191" xr:uid="{00000000-0005-0000-0000-0000CC080000}"/>
    <cellStyle name="Normal 5" xfId="2192" xr:uid="{00000000-0005-0000-0000-0000CD080000}"/>
    <cellStyle name="Normal 5 10" xfId="2193" xr:uid="{00000000-0005-0000-0000-0000CE080000}"/>
    <cellStyle name="Normal 5 10 2" xfId="2194" xr:uid="{00000000-0005-0000-0000-0000CF080000}"/>
    <cellStyle name="Normal 5 10 3" xfId="2195" xr:uid="{00000000-0005-0000-0000-0000D0080000}"/>
    <cellStyle name="Normal 5 10 4" xfId="2196" xr:uid="{00000000-0005-0000-0000-0000D1080000}"/>
    <cellStyle name="Normal 5 11" xfId="2197" xr:uid="{00000000-0005-0000-0000-0000D2080000}"/>
    <cellStyle name="Normal 5 11 2" xfId="2198" xr:uid="{00000000-0005-0000-0000-0000D3080000}"/>
    <cellStyle name="Normal 5 11 3" xfId="2199" xr:uid="{00000000-0005-0000-0000-0000D4080000}"/>
    <cellStyle name="Normal 5 11 4" xfId="2200" xr:uid="{00000000-0005-0000-0000-0000D5080000}"/>
    <cellStyle name="Normal 5 12" xfId="2201" xr:uid="{00000000-0005-0000-0000-0000D6080000}"/>
    <cellStyle name="Normal 5 12 2" xfId="2202" xr:uid="{00000000-0005-0000-0000-0000D7080000}"/>
    <cellStyle name="Normal 5 12 3" xfId="2203" xr:uid="{00000000-0005-0000-0000-0000D8080000}"/>
    <cellStyle name="Normal 5 12 4" xfId="2204" xr:uid="{00000000-0005-0000-0000-0000D9080000}"/>
    <cellStyle name="Normal 5 13" xfId="2205" xr:uid="{00000000-0005-0000-0000-0000DA080000}"/>
    <cellStyle name="Normal 5 13 2" xfId="2206" xr:uid="{00000000-0005-0000-0000-0000DB080000}"/>
    <cellStyle name="Normal 5 13 3" xfId="2207" xr:uid="{00000000-0005-0000-0000-0000DC080000}"/>
    <cellStyle name="Normal 5 13 4" xfId="2208" xr:uid="{00000000-0005-0000-0000-0000DD080000}"/>
    <cellStyle name="Normal 5 14" xfId="2209" xr:uid="{00000000-0005-0000-0000-0000DE080000}"/>
    <cellStyle name="Normal 5 14 2" xfId="2210" xr:uid="{00000000-0005-0000-0000-0000DF080000}"/>
    <cellStyle name="Normal 5 14 3" xfId="2211" xr:uid="{00000000-0005-0000-0000-0000E0080000}"/>
    <cellStyle name="Normal 5 14 4" xfId="2212" xr:uid="{00000000-0005-0000-0000-0000E1080000}"/>
    <cellStyle name="Normal 5 15" xfId="2213" xr:uid="{00000000-0005-0000-0000-0000E2080000}"/>
    <cellStyle name="Normal 5 15 2" xfId="2214" xr:uid="{00000000-0005-0000-0000-0000E3080000}"/>
    <cellStyle name="Normal 5 15 3" xfId="2215" xr:uid="{00000000-0005-0000-0000-0000E4080000}"/>
    <cellStyle name="Normal 5 15 4" xfId="2216" xr:uid="{00000000-0005-0000-0000-0000E5080000}"/>
    <cellStyle name="Normal 5 16" xfId="2217" xr:uid="{00000000-0005-0000-0000-0000E6080000}"/>
    <cellStyle name="Normal 5 16 2" xfId="2218" xr:uid="{00000000-0005-0000-0000-0000E7080000}"/>
    <cellStyle name="Normal 5 16 3" xfId="2219" xr:uid="{00000000-0005-0000-0000-0000E8080000}"/>
    <cellStyle name="Normal 5 16 4" xfId="2220" xr:uid="{00000000-0005-0000-0000-0000E9080000}"/>
    <cellStyle name="Normal 5 17" xfId="2221" xr:uid="{00000000-0005-0000-0000-0000EA080000}"/>
    <cellStyle name="Normal 5 17 2" xfId="2222" xr:uid="{00000000-0005-0000-0000-0000EB080000}"/>
    <cellStyle name="Normal 5 17 3" xfId="2223" xr:uid="{00000000-0005-0000-0000-0000EC080000}"/>
    <cellStyle name="Normal 5 17 4" xfId="2224" xr:uid="{00000000-0005-0000-0000-0000ED080000}"/>
    <cellStyle name="Normal 5 18" xfId="2225" xr:uid="{00000000-0005-0000-0000-0000EE080000}"/>
    <cellStyle name="Normal 5 18 2" xfId="2226" xr:uid="{00000000-0005-0000-0000-0000EF080000}"/>
    <cellStyle name="Normal 5 18 3" xfId="2227" xr:uid="{00000000-0005-0000-0000-0000F0080000}"/>
    <cellStyle name="Normal 5 18 4" xfId="2228" xr:uid="{00000000-0005-0000-0000-0000F1080000}"/>
    <cellStyle name="Normal 5 19" xfId="2229" xr:uid="{00000000-0005-0000-0000-0000F2080000}"/>
    <cellStyle name="Normal 5 19 2" xfId="2230" xr:uid="{00000000-0005-0000-0000-0000F3080000}"/>
    <cellStyle name="Normal 5 19 3" xfId="2231" xr:uid="{00000000-0005-0000-0000-0000F4080000}"/>
    <cellStyle name="Normal 5 19 4" xfId="2232" xr:uid="{00000000-0005-0000-0000-0000F5080000}"/>
    <cellStyle name="Normal 5 2" xfId="2233" xr:uid="{00000000-0005-0000-0000-0000F6080000}"/>
    <cellStyle name="Normal 5 2 2" xfId="2234" xr:uid="{00000000-0005-0000-0000-0000F7080000}"/>
    <cellStyle name="Normal 5 2 3" xfId="2235" xr:uid="{00000000-0005-0000-0000-0000F8080000}"/>
    <cellStyle name="Normal 5 2 4" xfId="2236" xr:uid="{00000000-0005-0000-0000-0000F9080000}"/>
    <cellStyle name="Normal 5 20" xfId="2237" xr:uid="{00000000-0005-0000-0000-0000FA080000}"/>
    <cellStyle name="Normal 5 20 2" xfId="2238" xr:uid="{00000000-0005-0000-0000-0000FB080000}"/>
    <cellStyle name="Normal 5 20 3" xfId="2239" xr:uid="{00000000-0005-0000-0000-0000FC080000}"/>
    <cellStyle name="Normal 5 20 4" xfId="2240" xr:uid="{00000000-0005-0000-0000-0000FD080000}"/>
    <cellStyle name="Normal 5 21" xfId="2241" xr:uid="{00000000-0005-0000-0000-0000FE080000}"/>
    <cellStyle name="Normal 5 21 2" xfId="2242" xr:uid="{00000000-0005-0000-0000-0000FF080000}"/>
    <cellStyle name="Normal 5 21 3" xfId="2243" xr:uid="{00000000-0005-0000-0000-000000090000}"/>
    <cellStyle name="Normal 5 21 4" xfId="2244" xr:uid="{00000000-0005-0000-0000-000001090000}"/>
    <cellStyle name="Normal 5 22" xfId="2245" xr:uid="{00000000-0005-0000-0000-000002090000}"/>
    <cellStyle name="Normal 5 23" xfId="2246" xr:uid="{00000000-0005-0000-0000-000003090000}"/>
    <cellStyle name="Normal 5 24" xfId="2247" xr:uid="{00000000-0005-0000-0000-000004090000}"/>
    <cellStyle name="Normal 5 25" xfId="2648" xr:uid="{00000000-0005-0000-0000-000005090000}"/>
    <cellStyle name="Normal 5 3" xfId="2248" xr:uid="{00000000-0005-0000-0000-000006090000}"/>
    <cellStyle name="Normal 5 3 2" xfId="2249" xr:uid="{00000000-0005-0000-0000-000007090000}"/>
    <cellStyle name="Normal 5 3 3" xfId="2250" xr:uid="{00000000-0005-0000-0000-000008090000}"/>
    <cellStyle name="Normal 5 3 4" xfId="2251" xr:uid="{00000000-0005-0000-0000-000009090000}"/>
    <cellStyle name="Normal 5 4" xfId="2252" xr:uid="{00000000-0005-0000-0000-00000A090000}"/>
    <cellStyle name="Normal 5 4 2" xfId="2253" xr:uid="{00000000-0005-0000-0000-00000B090000}"/>
    <cellStyle name="Normal 5 4 3" xfId="2254" xr:uid="{00000000-0005-0000-0000-00000C090000}"/>
    <cellStyle name="Normal 5 4 4" xfId="2255" xr:uid="{00000000-0005-0000-0000-00000D090000}"/>
    <cellStyle name="Normal 5 5" xfId="2256" xr:uid="{00000000-0005-0000-0000-00000E090000}"/>
    <cellStyle name="Normal 5 5 2" xfId="2257" xr:uid="{00000000-0005-0000-0000-00000F090000}"/>
    <cellStyle name="Normal 5 5 3" xfId="2258" xr:uid="{00000000-0005-0000-0000-000010090000}"/>
    <cellStyle name="Normal 5 5 4" xfId="2259" xr:uid="{00000000-0005-0000-0000-000011090000}"/>
    <cellStyle name="Normal 5 6" xfId="2260" xr:uid="{00000000-0005-0000-0000-000012090000}"/>
    <cellStyle name="Normal 5 6 2" xfId="2261" xr:uid="{00000000-0005-0000-0000-000013090000}"/>
    <cellStyle name="Normal 5 6 3" xfId="2262" xr:uid="{00000000-0005-0000-0000-000014090000}"/>
    <cellStyle name="Normal 5 6 4" xfId="2263" xr:uid="{00000000-0005-0000-0000-000015090000}"/>
    <cellStyle name="Normal 5 7" xfId="2264" xr:uid="{00000000-0005-0000-0000-000016090000}"/>
    <cellStyle name="Normal 5 7 2" xfId="2265" xr:uid="{00000000-0005-0000-0000-000017090000}"/>
    <cellStyle name="Normal 5 7 3" xfId="2266" xr:uid="{00000000-0005-0000-0000-000018090000}"/>
    <cellStyle name="Normal 5 7 4" xfId="2267" xr:uid="{00000000-0005-0000-0000-000019090000}"/>
    <cellStyle name="Normal 5 8" xfId="2268" xr:uid="{00000000-0005-0000-0000-00001A090000}"/>
    <cellStyle name="Normal 5 8 2" xfId="2269" xr:uid="{00000000-0005-0000-0000-00001B090000}"/>
    <cellStyle name="Normal 5 8 3" xfId="2270" xr:uid="{00000000-0005-0000-0000-00001C090000}"/>
    <cellStyle name="Normal 5 8 4" xfId="2271" xr:uid="{00000000-0005-0000-0000-00001D090000}"/>
    <cellStyle name="Normal 5 9" xfId="2272" xr:uid="{00000000-0005-0000-0000-00001E090000}"/>
    <cellStyle name="Normal 5 9 2" xfId="2273" xr:uid="{00000000-0005-0000-0000-00001F090000}"/>
    <cellStyle name="Normal 5 9 3" xfId="2274" xr:uid="{00000000-0005-0000-0000-000020090000}"/>
    <cellStyle name="Normal 5 9 4" xfId="2275" xr:uid="{00000000-0005-0000-0000-000021090000}"/>
    <cellStyle name="Normal 6" xfId="2276" xr:uid="{00000000-0005-0000-0000-000022090000}"/>
    <cellStyle name="Normal 6 10" xfId="2277" xr:uid="{00000000-0005-0000-0000-000023090000}"/>
    <cellStyle name="Normal 6 10 2" xfId="2278" xr:uid="{00000000-0005-0000-0000-000024090000}"/>
    <cellStyle name="Normal 6 10 3" xfId="2279" xr:uid="{00000000-0005-0000-0000-000025090000}"/>
    <cellStyle name="Normal 6 10 4" xfId="2280" xr:uid="{00000000-0005-0000-0000-000026090000}"/>
    <cellStyle name="Normal 6 11" xfId="2281" xr:uid="{00000000-0005-0000-0000-000027090000}"/>
    <cellStyle name="Normal 6 11 2" xfId="2282" xr:uid="{00000000-0005-0000-0000-000028090000}"/>
    <cellStyle name="Normal 6 11 3" xfId="2283" xr:uid="{00000000-0005-0000-0000-000029090000}"/>
    <cellStyle name="Normal 6 11 4" xfId="2284" xr:uid="{00000000-0005-0000-0000-00002A090000}"/>
    <cellStyle name="Normal 6 12" xfId="2285" xr:uid="{00000000-0005-0000-0000-00002B090000}"/>
    <cellStyle name="Normal 6 12 2" xfId="2286" xr:uid="{00000000-0005-0000-0000-00002C090000}"/>
    <cellStyle name="Normal 6 12 3" xfId="2287" xr:uid="{00000000-0005-0000-0000-00002D090000}"/>
    <cellStyle name="Normal 6 12 4" xfId="2288" xr:uid="{00000000-0005-0000-0000-00002E090000}"/>
    <cellStyle name="Normal 6 13" xfId="2289" xr:uid="{00000000-0005-0000-0000-00002F090000}"/>
    <cellStyle name="Normal 6 13 2" xfId="2290" xr:uid="{00000000-0005-0000-0000-000030090000}"/>
    <cellStyle name="Normal 6 13 3" xfId="2291" xr:uid="{00000000-0005-0000-0000-000031090000}"/>
    <cellStyle name="Normal 6 13 4" xfId="2292" xr:uid="{00000000-0005-0000-0000-000032090000}"/>
    <cellStyle name="Normal 6 14" xfId="2293" xr:uid="{00000000-0005-0000-0000-000033090000}"/>
    <cellStyle name="Normal 6 14 2" xfId="2294" xr:uid="{00000000-0005-0000-0000-000034090000}"/>
    <cellStyle name="Normal 6 14 3" xfId="2295" xr:uid="{00000000-0005-0000-0000-000035090000}"/>
    <cellStyle name="Normal 6 14 4" xfId="2296" xr:uid="{00000000-0005-0000-0000-000036090000}"/>
    <cellStyle name="Normal 6 15" xfId="2297" xr:uid="{00000000-0005-0000-0000-000037090000}"/>
    <cellStyle name="Normal 6 15 2" xfId="2298" xr:uid="{00000000-0005-0000-0000-000038090000}"/>
    <cellStyle name="Normal 6 15 3" xfId="2299" xr:uid="{00000000-0005-0000-0000-000039090000}"/>
    <cellStyle name="Normal 6 15 4" xfId="2300" xr:uid="{00000000-0005-0000-0000-00003A090000}"/>
    <cellStyle name="Normal 6 16" xfId="2301" xr:uid="{00000000-0005-0000-0000-00003B090000}"/>
    <cellStyle name="Normal 6 16 2" xfId="2302" xr:uid="{00000000-0005-0000-0000-00003C090000}"/>
    <cellStyle name="Normal 6 16 3" xfId="2303" xr:uid="{00000000-0005-0000-0000-00003D090000}"/>
    <cellStyle name="Normal 6 16 4" xfId="2304" xr:uid="{00000000-0005-0000-0000-00003E090000}"/>
    <cellStyle name="Normal 6 17" xfId="2305" xr:uid="{00000000-0005-0000-0000-00003F090000}"/>
    <cellStyle name="Normal 6 17 2" xfId="2306" xr:uid="{00000000-0005-0000-0000-000040090000}"/>
    <cellStyle name="Normal 6 17 3" xfId="2307" xr:uid="{00000000-0005-0000-0000-000041090000}"/>
    <cellStyle name="Normal 6 17 4" xfId="2308" xr:uid="{00000000-0005-0000-0000-000042090000}"/>
    <cellStyle name="Normal 6 18" xfId="2309" xr:uid="{00000000-0005-0000-0000-000043090000}"/>
    <cellStyle name="Normal 6 18 2" xfId="2310" xr:uid="{00000000-0005-0000-0000-000044090000}"/>
    <cellStyle name="Normal 6 18 3" xfId="2311" xr:uid="{00000000-0005-0000-0000-000045090000}"/>
    <cellStyle name="Normal 6 18 4" xfId="2312" xr:uid="{00000000-0005-0000-0000-000046090000}"/>
    <cellStyle name="Normal 6 19" xfId="2313" xr:uid="{00000000-0005-0000-0000-000047090000}"/>
    <cellStyle name="Normal 6 19 2" xfId="2314" xr:uid="{00000000-0005-0000-0000-000048090000}"/>
    <cellStyle name="Normal 6 19 3" xfId="2315" xr:uid="{00000000-0005-0000-0000-000049090000}"/>
    <cellStyle name="Normal 6 19 4" xfId="2316" xr:uid="{00000000-0005-0000-0000-00004A090000}"/>
    <cellStyle name="Normal 6 2" xfId="2317" xr:uid="{00000000-0005-0000-0000-00004B090000}"/>
    <cellStyle name="Normal 6 2 2" xfId="2318" xr:uid="{00000000-0005-0000-0000-00004C090000}"/>
    <cellStyle name="Normal 6 2 3" xfId="2319" xr:uid="{00000000-0005-0000-0000-00004D090000}"/>
    <cellStyle name="Normal 6 2 4" xfId="2320" xr:uid="{00000000-0005-0000-0000-00004E090000}"/>
    <cellStyle name="Normal 6 20" xfId="2321" xr:uid="{00000000-0005-0000-0000-00004F090000}"/>
    <cellStyle name="Normal 6 20 2" xfId="2322" xr:uid="{00000000-0005-0000-0000-000050090000}"/>
    <cellStyle name="Normal 6 20 3" xfId="2323" xr:uid="{00000000-0005-0000-0000-000051090000}"/>
    <cellStyle name="Normal 6 20 4" xfId="2324" xr:uid="{00000000-0005-0000-0000-000052090000}"/>
    <cellStyle name="Normal 6 21" xfId="2325" xr:uid="{00000000-0005-0000-0000-000053090000}"/>
    <cellStyle name="Normal 6 21 2" xfId="2326" xr:uid="{00000000-0005-0000-0000-000054090000}"/>
    <cellStyle name="Normal 6 21 3" xfId="2327" xr:uid="{00000000-0005-0000-0000-000055090000}"/>
    <cellStyle name="Normal 6 21 4" xfId="2328" xr:uid="{00000000-0005-0000-0000-000056090000}"/>
    <cellStyle name="Normal 6 22" xfId="2329" xr:uid="{00000000-0005-0000-0000-000057090000}"/>
    <cellStyle name="Normal 6 23" xfId="2330" xr:uid="{00000000-0005-0000-0000-000058090000}"/>
    <cellStyle name="Normal 6 24" xfId="2331" xr:uid="{00000000-0005-0000-0000-000059090000}"/>
    <cellStyle name="Normal 6 3" xfId="2332" xr:uid="{00000000-0005-0000-0000-00005A090000}"/>
    <cellStyle name="Normal 6 3 2" xfId="2333" xr:uid="{00000000-0005-0000-0000-00005B090000}"/>
    <cellStyle name="Normal 6 3 3" xfId="2334" xr:uid="{00000000-0005-0000-0000-00005C090000}"/>
    <cellStyle name="Normal 6 3 4" xfId="2335" xr:uid="{00000000-0005-0000-0000-00005D090000}"/>
    <cellStyle name="Normal 6 4" xfId="2336" xr:uid="{00000000-0005-0000-0000-00005E090000}"/>
    <cellStyle name="Normal 6 4 2" xfId="2337" xr:uid="{00000000-0005-0000-0000-00005F090000}"/>
    <cellStyle name="Normal 6 4 3" xfId="2338" xr:uid="{00000000-0005-0000-0000-000060090000}"/>
    <cellStyle name="Normal 6 4 4" xfId="2339" xr:uid="{00000000-0005-0000-0000-000061090000}"/>
    <cellStyle name="Normal 6 5" xfId="2340" xr:uid="{00000000-0005-0000-0000-000062090000}"/>
    <cellStyle name="Normal 6 5 2" xfId="2341" xr:uid="{00000000-0005-0000-0000-000063090000}"/>
    <cellStyle name="Normal 6 5 3" xfId="2342" xr:uid="{00000000-0005-0000-0000-000064090000}"/>
    <cellStyle name="Normal 6 5 4" xfId="2343" xr:uid="{00000000-0005-0000-0000-000065090000}"/>
    <cellStyle name="Normal 6 6" xfId="2344" xr:uid="{00000000-0005-0000-0000-000066090000}"/>
    <cellStyle name="Normal 6 6 2" xfId="2345" xr:uid="{00000000-0005-0000-0000-000067090000}"/>
    <cellStyle name="Normal 6 6 3" xfId="2346" xr:uid="{00000000-0005-0000-0000-000068090000}"/>
    <cellStyle name="Normal 6 6 4" xfId="2347" xr:uid="{00000000-0005-0000-0000-000069090000}"/>
    <cellStyle name="Normal 6 7" xfId="2348" xr:uid="{00000000-0005-0000-0000-00006A090000}"/>
    <cellStyle name="Normal 6 7 2" xfId="2349" xr:uid="{00000000-0005-0000-0000-00006B090000}"/>
    <cellStyle name="Normal 6 7 3" xfId="2350" xr:uid="{00000000-0005-0000-0000-00006C090000}"/>
    <cellStyle name="Normal 6 7 4" xfId="2351" xr:uid="{00000000-0005-0000-0000-00006D090000}"/>
    <cellStyle name="Normal 6 8" xfId="2352" xr:uid="{00000000-0005-0000-0000-00006E090000}"/>
    <cellStyle name="Normal 6 8 2" xfId="2353" xr:uid="{00000000-0005-0000-0000-00006F090000}"/>
    <cellStyle name="Normal 6 8 3" xfId="2354" xr:uid="{00000000-0005-0000-0000-000070090000}"/>
    <cellStyle name="Normal 6 8 4" xfId="2355" xr:uid="{00000000-0005-0000-0000-000071090000}"/>
    <cellStyle name="Normal 6 9" xfId="2356" xr:uid="{00000000-0005-0000-0000-000072090000}"/>
    <cellStyle name="Normal 6 9 2" xfId="2357" xr:uid="{00000000-0005-0000-0000-000073090000}"/>
    <cellStyle name="Normal 6 9 3" xfId="2358" xr:uid="{00000000-0005-0000-0000-000074090000}"/>
    <cellStyle name="Normal 6 9 4" xfId="2359" xr:uid="{00000000-0005-0000-0000-000075090000}"/>
    <cellStyle name="Normal 7" xfId="2360" xr:uid="{00000000-0005-0000-0000-000076090000}"/>
    <cellStyle name="Normal 7 10" xfId="2361" xr:uid="{00000000-0005-0000-0000-000077090000}"/>
    <cellStyle name="Normal 7 10 2" xfId="2362" xr:uid="{00000000-0005-0000-0000-000078090000}"/>
    <cellStyle name="Normal 7 10 3" xfId="2363" xr:uid="{00000000-0005-0000-0000-000079090000}"/>
    <cellStyle name="Normal 7 10 4" xfId="2364" xr:uid="{00000000-0005-0000-0000-00007A090000}"/>
    <cellStyle name="Normal 7 11" xfId="2365" xr:uid="{00000000-0005-0000-0000-00007B090000}"/>
    <cellStyle name="Normal 7 11 2" xfId="2366" xr:uid="{00000000-0005-0000-0000-00007C090000}"/>
    <cellStyle name="Normal 7 11 3" xfId="2367" xr:uid="{00000000-0005-0000-0000-00007D090000}"/>
    <cellStyle name="Normal 7 11 4" xfId="2368" xr:uid="{00000000-0005-0000-0000-00007E090000}"/>
    <cellStyle name="Normal 7 12" xfId="2369" xr:uid="{00000000-0005-0000-0000-00007F090000}"/>
    <cellStyle name="Normal 7 12 2" xfId="2370" xr:uid="{00000000-0005-0000-0000-000080090000}"/>
    <cellStyle name="Normal 7 12 3" xfId="2371" xr:uid="{00000000-0005-0000-0000-000081090000}"/>
    <cellStyle name="Normal 7 12 4" xfId="2372" xr:uid="{00000000-0005-0000-0000-000082090000}"/>
    <cellStyle name="Normal 7 13" xfId="2373" xr:uid="{00000000-0005-0000-0000-000083090000}"/>
    <cellStyle name="Normal 7 13 2" xfId="2374" xr:uid="{00000000-0005-0000-0000-000084090000}"/>
    <cellStyle name="Normal 7 13 3" xfId="2375" xr:uid="{00000000-0005-0000-0000-000085090000}"/>
    <cellStyle name="Normal 7 13 4" xfId="2376" xr:uid="{00000000-0005-0000-0000-000086090000}"/>
    <cellStyle name="Normal 7 14" xfId="2377" xr:uid="{00000000-0005-0000-0000-000087090000}"/>
    <cellStyle name="Normal 7 14 2" xfId="2378" xr:uid="{00000000-0005-0000-0000-000088090000}"/>
    <cellStyle name="Normal 7 14 3" xfId="2379" xr:uid="{00000000-0005-0000-0000-000089090000}"/>
    <cellStyle name="Normal 7 14 4" xfId="2380" xr:uid="{00000000-0005-0000-0000-00008A090000}"/>
    <cellStyle name="Normal 7 15" xfId="2381" xr:uid="{00000000-0005-0000-0000-00008B090000}"/>
    <cellStyle name="Normal 7 15 2" xfId="2382" xr:uid="{00000000-0005-0000-0000-00008C090000}"/>
    <cellStyle name="Normal 7 15 3" xfId="2383" xr:uid="{00000000-0005-0000-0000-00008D090000}"/>
    <cellStyle name="Normal 7 15 4" xfId="2384" xr:uid="{00000000-0005-0000-0000-00008E090000}"/>
    <cellStyle name="Normal 7 16" xfId="2385" xr:uid="{00000000-0005-0000-0000-00008F090000}"/>
    <cellStyle name="Normal 7 16 2" xfId="2386" xr:uid="{00000000-0005-0000-0000-000090090000}"/>
    <cellStyle name="Normal 7 16 3" xfId="2387" xr:uid="{00000000-0005-0000-0000-000091090000}"/>
    <cellStyle name="Normal 7 16 4" xfId="2388" xr:uid="{00000000-0005-0000-0000-000092090000}"/>
    <cellStyle name="Normal 7 17" xfId="2389" xr:uid="{00000000-0005-0000-0000-000093090000}"/>
    <cellStyle name="Normal 7 17 2" xfId="2390" xr:uid="{00000000-0005-0000-0000-000094090000}"/>
    <cellStyle name="Normal 7 17 3" xfId="2391" xr:uid="{00000000-0005-0000-0000-000095090000}"/>
    <cellStyle name="Normal 7 17 4" xfId="2392" xr:uid="{00000000-0005-0000-0000-000096090000}"/>
    <cellStyle name="Normal 7 18" xfId="2393" xr:uid="{00000000-0005-0000-0000-000097090000}"/>
    <cellStyle name="Normal 7 18 2" xfId="2394" xr:uid="{00000000-0005-0000-0000-000098090000}"/>
    <cellStyle name="Normal 7 18 3" xfId="2395" xr:uid="{00000000-0005-0000-0000-000099090000}"/>
    <cellStyle name="Normal 7 18 4" xfId="2396" xr:uid="{00000000-0005-0000-0000-00009A090000}"/>
    <cellStyle name="Normal 7 19" xfId="2397" xr:uid="{00000000-0005-0000-0000-00009B090000}"/>
    <cellStyle name="Normal 7 19 2" xfId="2398" xr:uid="{00000000-0005-0000-0000-00009C090000}"/>
    <cellStyle name="Normal 7 19 3" xfId="2399" xr:uid="{00000000-0005-0000-0000-00009D090000}"/>
    <cellStyle name="Normal 7 19 4" xfId="2400" xr:uid="{00000000-0005-0000-0000-00009E090000}"/>
    <cellStyle name="Normal 7 2" xfId="2401" xr:uid="{00000000-0005-0000-0000-00009F090000}"/>
    <cellStyle name="Normal 7 2 2" xfId="2402" xr:uid="{00000000-0005-0000-0000-0000A0090000}"/>
    <cellStyle name="Normal 7 2 3" xfId="2403" xr:uid="{00000000-0005-0000-0000-0000A1090000}"/>
    <cellStyle name="Normal 7 2 4" xfId="2404" xr:uid="{00000000-0005-0000-0000-0000A2090000}"/>
    <cellStyle name="Normal 7 20" xfId="2405" xr:uid="{00000000-0005-0000-0000-0000A3090000}"/>
    <cellStyle name="Normal 7 20 2" xfId="2406" xr:uid="{00000000-0005-0000-0000-0000A4090000}"/>
    <cellStyle name="Normal 7 20 3" xfId="2407" xr:uid="{00000000-0005-0000-0000-0000A5090000}"/>
    <cellStyle name="Normal 7 20 4" xfId="2408" xr:uid="{00000000-0005-0000-0000-0000A6090000}"/>
    <cellStyle name="Normal 7 21" xfId="2409" xr:uid="{00000000-0005-0000-0000-0000A7090000}"/>
    <cellStyle name="Normal 7 21 2" xfId="2410" xr:uid="{00000000-0005-0000-0000-0000A8090000}"/>
    <cellStyle name="Normal 7 21 3" xfId="2411" xr:uid="{00000000-0005-0000-0000-0000A9090000}"/>
    <cellStyle name="Normal 7 21 4" xfId="2412" xr:uid="{00000000-0005-0000-0000-0000AA090000}"/>
    <cellStyle name="Normal 7 22" xfId="2413" xr:uid="{00000000-0005-0000-0000-0000AB090000}"/>
    <cellStyle name="Normal 7 23" xfId="2414" xr:uid="{00000000-0005-0000-0000-0000AC090000}"/>
    <cellStyle name="Normal 7 24" xfId="2415" xr:uid="{00000000-0005-0000-0000-0000AD090000}"/>
    <cellStyle name="Normal 7 3" xfId="2416" xr:uid="{00000000-0005-0000-0000-0000AE090000}"/>
    <cellStyle name="Normal 7 3 2" xfId="2417" xr:uid="{00000000-0005-0000-0000-0000AF090000}"/>
    <cellStyle name="Normal 7 3 3" xfId="2418" xr:uid="{00000000-0005-0000-0000-0000B0090000}"/>
    <cellStyle name="Normal 7 3 4" xfId="2419" xr:uid="{00000000-0005-0000-0000-0000B1090000}"/>
    <cellStyle name="Normal 7 4" xfId="2420" xr:uid="{00000000-0005-0000-0000-0000B2090000}"/>
    <cellStyle name="Normal 7 4 2" xfId="2421" xr:uid="{00000000-0005-0000-0000-0000B3090000}"/>
    <cellStyle name="Normal 7 4 3" xfId="2422" xr:uid="{00000000-0005-0000-0000-0000B4090000}"/>
    <cellStyle name="Normal 7 4 4" xfId="2423" xr:uid="{00000000-0005-0000-0000-0000B5090000}"/>
    <cellStyle name="Normal 7 5" xfId="2424" xr:uid="{00000000-0005-0000-0000-0000B6090000}"/>
    <cellStyle name="Normal 7 5 2" xfId="2425" xr:uid="{00000000-0005-0000-0000-0000B7090000}"/>
    <cellStyle name="Normal 7 5 3" xfId="2426" xr:uid="{00000000-0005-0000-0000-0000B8090000}"/>
    <cellStyle name="Normal 7 5 4" xfId="2427" xr:uid="{00000000-0005-0000-0000-0000B9090000}"/>
    <cellStyle name="Normal 7 6" xfId="2428" xr:uid="{00000000-0005-0000-0000-0000BA090000}"/>
    <cellStyle name="Normal 7 6 2" xfId="2429" xr:uid="{00000000-0005-0000-0000-0000BB090000}"/>
    <cellStyle name="Normal 7 6 3" xfId="2430" xr:uid="{00000000-0005-0000-0000-0000BC090000}"/>
    <cellStyle name="Normal 7 6 4" xfId="2431" xr:uid="{00000000-0005-0000-0000-0000BD090000}"/>
    <cellStyle name="Normal 7 7" xfId="2432" xr:uid="{00000000-0005-0000-0000-0000BE090000}"/>
    <cellStyle name="Normal 7 7 2" xfId="2433" xr:uid="{00000000-0005-0000-0000-0000BF090000}"/>
    <cellStyle name="Normal 7 7 3" xfId="2434" xr:uid="{00000000-0005-0000-0000-0000C0090000}"/>
    <cellStyle name="Normal 7 7 4" xfId="2435" xr:uid="{00000000-0005-0000-0000-0000C1090000}"/>
    <cellStyle name="Normal 7 8" xfId="2436" xr:uid="{00000000-0005-0000-0000-0000C2090000}"/>
    <cellStyle name="Normal 7 8 2" xfId="2437" xr:uid="{00000000-0005-0000-0000-0000C3090000}"/>
    <cellStyle name="Normal 7 8 3" xfId="2438" xr:uid="{00000000-0005-0000-0000-0000C4090000}"/>
    <cellStyle name="Normal 7 8 4" xfId="2439" xr:uid="{00000000-0005-0000-0000-0000C5090000}"/>
    <cellStyle name="Normal 7 9" xfId="2440" xr:uid="{00000000-0005-0000-0000-0000C6090000}"/>
    <cellStyle name="Normal 7 9 2" xfId="2441" xr:uid="{00000000-0005-0000-0000-0000C7090000}"/>
    <cellStyle name="Normal 7 9 3" xfId="2442" xr:uid="{00000000-0005-0000-0000-0000C8090000}"/>
    <cellStyle name="Normal 7 9 4" xfId="2443" xr:uid="{00000000-0005-0000-0000-0000C9090000}"/>
    <cellStyle name="Normal 8" xfId="2444" xr:uid="{00000000-0005-0000-0000-0000CA090000}"/>
    <cellStyle name="Normal 8 10" xfId="2445" xr:uid="{00000000-0005-0000-0000-0000CB090000}"/>
    <cellStyle name="Normal 8 10 2" xfId="2446" xr:uid="{00000000-0005-0000-0000-0000CC090000}"/>
    <cellStyle name="Normal 8 10 3" xfId="2447" xr:uid="{00000000-0005-0000-0000-0000CD090000}"/>
    <cellStyle name="Normal 8 10 4" xfId="2448" xr:uid="{00000000-0005-0000-0000-0000CE090000}"/>
    <cellStyle name="Normal 8 11" xfId="2449" xr:uid="{00000000-0005-0000-0000-0000CF090000}"/>
    <cellStyle name="Normal 8 11 2" xfId="2450" xr:uid="{00000000-0005-0000-0000-0000D0090000}"/>
    <cellStyle name="Normal 8 11 3" xfId="2451" xr:uid="{00000000-0005-0000-0000-0000D1090000}"/>
    <cellStyle name="Normal 8 11 4" xfId="2452" xr:uid="{00000000-0005-0000-0000-0000D2090000}"/>
    <cellStyle name="Normal 8 12" xfId="2453" xr:uid="{00000000-0005-0000-0000-0000D3090000}"/>
    <cellStyle name="Normal 8 12 2" xfId="2454" xr:uid="{00000000-0005-0000-0000-0000D4090000}"/>
    <cellStyle name="Normal 8 12 3" xfId="2455" xr:uid="{00000000-0005-0000-0000-0000D5090000}"/>
    <cellStyle name="Normal 8 12 4" xfId="2456" xr:uid="{00000000-0005-0000-0000-0000D6090000}"/>
    <cellStyle name="Normal 8 13" xfId="2457" xr:uid="{00000000-0005-0000-0000-0000D7090000}"/>
    <cellStyle name="Normal 8 13 2" xfId="2458" xr:uid="{00000000-0005-0000-0000-0000D8090000}"/>
    <cellStyle name="Normal 8 13 3" xfId="2459" xr:uid="{00000000-0005-0000-0000-0000D9090000}"/>
    <cellStyle name="Normal 8 13 4" xfId="2460" xr:uid="{00000000-0005-0000-0000-0000DA090000}"/>
    <cellStyle name="Normal 8 14" xfId="2461" xr:uid="{00000000-0005-0000-0000-0000DB090000}"/>
    <cellStyle name="Normal 8 14 2" xfId="2462" xr:uid="{00000000-0005-0000-0000-0000DC090000}"/>
    <cellStyle name="Normal 8 14 3" xfId="2463" xr:uid="{00000000-0005-0000-0000-0000DD090000}"/>
    <cellStyle name="Normal 8 14 4" xfId="2464" xr:uid="{00000000-0005-0000-0000-0000DE090000}"/>
    <cellStyle name="Normal 8 15" xfId="2465" xr:uid="{00000000-0005-0000-0000-0000DF090000}"/>
    <cellStyle name="Normal 8 15 2" xfId="2466" xr:uid="{00000000-0005-0000-0000-0000E0090000}"/>
    <cellStyle name="Normal 8 15 3" xfId="2467" xr:uid="{00000000-0005-0000-0000-0000E1090000}"/>
    <cellStyle name="Normal 8 15 4" xfId="2468" xr:uid="{00000000-0005-0000-0000-0000E2090000}"/>
    <cellStyle name="Normal 8 16" xfId="2469" xr:uid="{00000000-0005-0000-0000-0000E3090000}"/>
    <cellStyle name="Normal 8 16 2" xfId="2470" xr:uid="{00000000-0005-0000-0000-0000E4090000}"/>
    <cellStyle name="Normal 8 16 3" xfId="2471" xr:uid="{00000000-0005-0000-0000-0000E5090000}"/>
    <cellStyle name="Normal 8 16 4" xfId="2472" xr:uid="{00000000-0005-0000-0000-0000E6090000}"/>
    <cellStyle name="Normal 8 17" xfId="2473" xr:uid="{00000000-0005-0000-0000-0000E7090000}"/>
    <cellStyle name="Normal 8 17 2" xfId="2474" xr:uid="{00000000-0005-0000-0000-0000E8090000}"/>
    <cellStyle name="Normal 8 17 3" xfId="2475" xr:uid="{00000000-0005-0000-0000-0000E9090000}"/>
    <cellStyle name="Normal 8 17 4" xfId="2476" xr:uid="{00000000-0005-0000-0000-0000EA090000}"/>
    <cellStyle name="Normal 8 18" xfId="2477" xr:uid="{00000000-0005-0000-0000-0000EB090000}"/>
    <cellStyle name="Normal 8 18 2" xfId="2478" xr:uid="{00000000-0005-0000-0000-0000EC090000}"/>
    <cellStyle name="Normal 8 18 3" xfId="2479" xr:uid="{00000000-0005-0000-0000-0000ED090000}"/>
    <cellStyle name="Normal 8 18 4" xfId="2480" xr:uid="{00000000-0005-0000-0000-0000EE090000}"/>
    <cellStyle name="Normal 8 19" xfId="2481" xr:uid="{00000000-0005-0000-0000-0000EF090000}"/>
    <cellStyle name="Normal 8 19 2" xfId="2482" xr:uid="{00000000-0005-0000-0000-0000F0090000}"/>
    <cellStyle name="Normal 8 19 3" xfId="2483" xr:uid="{00000000-0005-0000-0000-0000F1090000}"/>
    <cellStyle name="Normal 8 19 4" xfId="2484" xr:uid="{00000000-0005-0000-0000-0000F2090000}"/>
    <cellStyle name="Normal 8 2" xfId="2485" xr:uid="{00000000-0005-0000-0000-0000F3090000}"/>
    <cellStyle name="Normal 8 2 2" xfId="2486" xr:uid="{00000000-0005-0000-0000-0000F4090000}"/>
    <cellStyle name="Normal 8 2 3" xfId="2487" xr:uid="{00000000-0005-0000-0000-0000F5090000}"/>
    <cellStyle name="Normal 8 2 4" xfId="2488" xr:uid="{00000000-0005-0000-0000-0000F6090000}"/>
    <cellStyle name="Normal 8 20" xfId="2489" xr:uid="{00000000-0005-0000-0000-0000F7090000}"/>
    <cellStyle name="Normal 8 20 2" xfId="2490" xr:uid="{00000000-0005-0000-0000-0000F8090000}"/>
    <cellStyle name="Normal 8 20 3" xfId="2491" xr:uid="{00000000-0005-0000-0000-0000F9090000}"/>
    <cellStyle name="Normal 8 20 4" xfId="2492" xr:uid="{00000000-0005-0000-0000-0000FA090000}"/>
    <cellStyle name="Normal 8 21" xfId="2493" xr:uid="{00000000-0005-0000-0000-0000FB090000}"/>
    <cellStyle name="Normal 8 21 2" xfId="2494" xr:uid="{00000000-0005-0000-0000-0000FC090000}"/>
    <cellStyle name="Normal 8 21 3" xfId="2495" xr:uid="{00000000-0005-0000-0000-0000FD090000}"/>
    <cellStyle name="Normal 8 21 4" xfId="2496" xr:uid="{00000000-0005-0000-0000-0000FE090000}"/>
    <cellStyle name="Normal 8 22" xfId="2497" xr:uid="{00000000-0005-0000-0000-0000FF090000}"/>
    <cellStyle name="Normal 8 23" xfId="2498" xr:uid="{00000000-0005-0000-0000-0000000A0000}"/>
    <cellStyle name="Normal 8 24" xfId="2499" xr:uid="{00000000-0005-0000-0000-0000010A0000}"/>
    <cellStyle name="Normal 8 3" xfId="2500" xr:uid="{00000000-0005-0000-0000-0000020A0000}"/>
    <cellStyle name="Normal 8 3 2" xfId="2501" xr:uid="{00000000-0005-0000-0000-0000030A0000}"/>
    <cellStyle name="Normal 8 3 3" xfId="2502" xr:uid="{00000000-0005-0000-0000-0000040A0000}"/>
    <cellStyle name="Normal 8 3 4" xfId="2503" xr:uid="{00000000-0005-0000-0000-0000050A0000}"/>
    <cellStyle name="Normal 8 4" xfId="2504" xr:uid="{00000000-0005-0000-0000-0000060A0000}"/>
    <cellStyle name="Normal 8 4 2" xfId="2505" xr:uid="{00000000-0005-0000-0000-0000070A0000}"/>
    <cellStyle name="Normal 8 4 3" xfId="2506" xr:uid="{00000000-0005-0000-0000-0000080A0000}"/>
    <cellStyle name="Normal 8 4 4" xfId="2507" xr:uid="{00000000-0005-0000-0000-0000090A0000}"/>
    <cellStyle name="Normal 8 5" xfId="2508" xr:uid="{00000000-0005-0000-0000-00000A0A0000}"/>
    <cellStyle name="Normal 8 5 2" xfId="2509" xr:uid="{00000000-0005-0000-0000-00000B0A0000}"/>
    <cellStyle name="Normal 8 5 3" xfId="2510" xr:uid="{00000000-0005-0000-0000-00000C0A0000}"/>
    <cellStyle name="Normal 8 5 4" xfId="2511" xr:uid="{00000000-0005-0000-0000-00000D0A0000}"/>
    <cellStyle name="Normal 8 6" xfId="2512" xr:uid="{00000000-0005-0000-0000-00000E0A0000}"/>
    <cellStyle name="Normal 8 6 2" xfId="2513" xr:uid="{00000000-0005-0000-0000-00000F0A0000}"/>
    <cellStyle name="Normal 8 6 3" xfId="2514" xr:uid="{00000000-0005-0000-0000-0000100A0000}"/>
    <cellStyle name="Normal 8 6 4" xfId="2515" xr:uid="{00000000-0005-0000-0000-0000110A0000}"/>
    <cellStyle name="Normal 8 7" xfId="2516" xr:uid="{00000000-0005-0000-0000-0000120A0000}"/>
    <cellStyle name="Normal 8 7 2" xfId="2517" xr:uid="{00000000-0005-0000-0000-0000130A0000}"/>
    <cellStyle name="Normal 8 7 3" xfId="2518" xr:uid="{00000000-0005-0000-0000-0000140A0000}"/>
    <cellStyle name="Normal 8 7 4" xfId="2519" xr:uid="{00000000-0005-0000-0000-0000150A0000}"/>
    <cellStyle name="Normal 8 8" xfId="2520" xr:uid="{00000000-0005-0000-0000-0000160A0000}"/>
    <cellStyle name="Normal 8 8 2" xfId="2521" xr:uid="{00000000-0005-0000-0000-0000170A0000}"/>
    <cellStyle name="Normal 8 8 3" xfId="2522" xr:uid="{00000000-0005-0000-0000-0000180A0000}"/>
    <cellStyle name="Normal 8 8 4" xfId="2523" xr:uid="{00000000-0005-0000-0000-0000190A0000}"/>
    <cellStyle name="Normal 8 9" xfId="2524" xr:uid="{00000000-0005-0000-0000-00001A0A0000}"/>
    <cellStyle name="Normal 8 9 2" xfId="2525" xr:uid="{00000000-0005-0000-0000-00001B0A0000}"/>
    <cellStyle name="Normal 8 9 3" xfId="2526" xr:uid="{00000000-0005-0000-0000-00001C0A0000}"/>
    <cellStyle name="Normal 8 9 4" xfId="2527" xr:uid="{00000000-0005-0000-0000-00001D0A0000}"/>
    <cellStyle name="Normal 9" xfId="2528" xr:uid="{00000000-0005-0000-0000-00001E0A0000}"/>
    <cellStyle name="Note 10" xfId="2529" xr:uid="{00000000-0005-0000-0000-00001F0A0000}"/>
    <cellStyle name="Note 10 2" xfId="2530" xr:uid="{00000000-0005-0000-0000-0000200A0000}"/>
    <cellStyle name="Note 10 3" xfId="2531" xr:uid="{00000000-0005-0000-0000-0000210A0000}"/>
    <cellStyle name="Note 10 4" xfId="2532" xr:uid="{00000000-0005-0000-0000-0000220A0000}"/>
    <cellStyle name="Note 11" xfId="2533" xr:uid="{00000000-0005-0000-0000-0000230A0000}"/>
    <cellStyle name="Note 11 2" xfId="2534" xr:uid="{00000000-0005-0000-0000-0000240A0000}"/>
    <cellStyle name="Note 11 3" xfId="2535" xr:uid="{00000000-0005-0000-0000-0000250A0000}"/>
    <cellStyle name="Note 11 4" xfId="2536" xr:uid="{00000000-0005-0000-0000-0000260A0000}"/>
    <cellStyle name="Note 12" xfId="2537" xr:uid="{00000000-0005-0000-0000-0000270A0000}"/>
    <cellStyle name="Note 12 2" xfId="2538" xr:uid="{00000000-0005-0000-0000-0000280A0000}"/>
    <cellStyle name="Note 12 3" xfId="2539" xr:uid="{00000000-0005-0000-0000-0000290A0000}"/>
    <cellStyle name="Note 12 4" xfId="2540" xr:uid="{00000000-0005-0000-0000-00002A0A0000}"/>
    <cellStyle name="Note 13" xfId="2541" xr:uid="{00000000-0005-0000-0000-00002B0A0000}"/>
    <cellStyle name="Note 13 2" xfId="2542" xr:uid="{00000000-0005-0000-0000-00002C0A0000}"/>
    <cellStyle name="Note 13 3" xfId="2543" xr:uid="{00000000-0005-0000-0000-00002D0A0000}"/>
    <cellStyle name="Note 13 4" xfId="2544" xr:uid="{00000000-0005-0000-0000-00002E0A0000}"/>
    <cellStyle name="Note 14" xfId="2545" xr:uid="{00000000-0005-0000-0000-00002F0A0000}"/>
    <cellStyle name="Note 14 2" xfId="2546" xr:uid="{00000000-0005-0000-0000-0000300A0000}"/>
    <cellStyle name="Note 14 3" xfId="2547" xr:uid="{00000000-0005-0000-0000-0000310A0000}"/>
    <cellStyle name="Note 14 4" xfId="2548" xr:uid="{00000000-0005-0000-0000-0000320A0000}"/>
    <cellStyle name="Note 15" xfId="2549" xr:uid="{00000000-0005-0000-0000-0000330A0000}"/>
    <cellStyle name="Note 16" xfId="2550" xr:uid="{00000000-0005-0000-0000-0000340A0000}"/>
    <cellStyle name="Note 17" xfId="2551" xr:uid="{00000000-0005-0000-0000-0000350A0000}"/>
    <cellStyle name="Note 2" xfId="2552" xr:uid="{00000000-0005-0000-0000-0000360A0000}"/>
    <cellStyle name="Note 2 2" xfId="2553" xr:uid="{00000000-0005-0000-0000-0000370A0000}"/>
    <cellStyle name="Note 2 3" xfId="2554" xr:uid="{00000000-0005-0000-0000-0000380A0000}"/>
    <cellStyle name="Note 2 4" xfId="2555" xr:uid="{00000000-0005-0000-0000-0000390A0000}"/>
    <cellStyle name="Note 3" xfId="2556" xr:uid="{00000000-0005-0000-0000-00003A0A0000}"/>
    <cellStyle name="Note 3 2" xfId="2557" xr:uid="{00000000-0005-0000-0000-00003B0A0000}"/>
    <cellStyle name="Note 3 3" xfId="2558" xr:uid="{00000000-0005-0000-0000-00003C0A0000}"/>
    <cellStyle name="Note 3 4" xfId="2559" xr:uid="{00000000-0005-0000-0000-00003D0A0000}"/>
    <cellStyle name="Note 4" xfId="2560" xr:uid="{00000000-0005-0000-0000-00003E0A0000}"/>
    <cellStyle name="Note 4 2" xfId="2561" xr:uid="{00000000-0005-0000-0000-00003F0A0000}"/>
    <cellStyle name="Note 4 3" xfId="2562" xr:uid="{00000000-0005-0000-0000-0000400A0000}"/>
    <cellStyle name="Note 4 4" xfId="2563" xr:uid="{00000000-0005-0000-0000-0000410A0000}"/>
    <cellStyle name="Note 5" xfId="2564" xr:uid="{00000000-0005-0000-0000-0000420A0000}"/>
    <cellStyle name="Note 5 2" xfId="2565" xr:uid="{00000000-0005-0000-0000-0000430A0000}"/>
    <cellStyle name="Note 5 3" xfId="2566" xr:uid="{00000000-0005-0000-0000-0000440A0000}"/>
    <cellStyle name="Note 5 4" xfId="2567" xr:uid="{00000000-0005-0000-0000-0000450A0000}"/>
    <cellStyle name="Note 6" xfId="2568" xr:uid="{00000000-0005-0000-0000-0000460A0000}"/>
    <cellStyle name="Note 6 2" xfId="2569" xr:uid="{00000000-0005-0000-0000-0000470A0000}"/>
    <cellStyle name="Note 6 3" xfId="2570" xr:uid="{00000000-0005-0000-0000-0000480A0000}"/>
    <cellStyle name="Note 6 4" xfId="2571" xr:uid="{00000000-0005-0000-0000-0000490A0000}"/>
    <cellStyle name="Note 7" xfId="2572" xr:uid="{00000000-0005-0000-0000-00004A0A0000}"/>
    <cellStyle name="Note 7 2" xfId="2573" xr:uid="{00000000-0005-0000-0000-00004B0A0000}"/>
    <cellStyle name="Note 7 3" xfId="2574" xr:uid="{00000000-0005-0000-0000-00004C0A0000}"/>
    <cellStyle name="Note 7 4" xfId="2575" xr:uid="{00000000-0005-0000-0000-00004D0A0000}"/>
    <cellStyle name="Note 8" xfId="2576" xr:uid="{00000000-0005-0000-0000-00004E0A0000}"/>
    <cellStyle name="Note 8 2" xfId="2577" xr:uid="{00000000-0005-0000-0000-00004F0A0000}"/>
    <cellStyle name="Note 8 3" xfId="2578" xr:uid="{00000000-0005-0000-0000-0000500A0000}"/>
    <cellStyle name="Note 8 4" xfId="2579" xr:uid="{00000000-0005-0000-0000-0000510A0000}"/>
    <cellStyle name="Note 9" xfId="2580" xr:uid="{00000000-0005-0000-0000-0000520A0000}"/>
    <cellStyle name="Note 9 2" xfId="2581" xr:uid="{00000000-0005-0000-0000-0000530A0000}"/>
    <cellStyle name="Note 9 3" xfId="2582" xr:uid="{00000000-0005-0000-0000-0000540A0000}"/>
    <cellStyle name="Note 9 4" xfId="2583" xr:uid="{00000000-0005-0000-0000-0000550A0000}"/>
    <cellStyle name="Output 2" xfId="2589" xr:uid="{00000000-0005-0000-0000-0000560A0000}"/>
    <cellStyle name="Percent 2" xfId="2584" xr:uid="{00000000-0005-0000-0000-0000570A0000}"/>
    <cellStyle name="Percent 2 2" xfId="2621" xr:uid="{00000000-0005-0000-0000-0000580A0000}"/>
    <cellStyle name="Percent 3" xfId="2614" xr:uid="{00000000-0005-0000-0000-0000590A0000}"/>
    <cellStyle name="Percent 4" xfId="2631" xr:uid="{00000000-0005-0000-0000-00005A0A0000}"/>
    <cellStyle name="Percent 5" xfId="2652" xr:uid="{00000000-0005-0000-0000-00005B0A0000}"/>
    <cellStyle name="Percent 6" xfId="13" xr:uid="{00000000-0005-0000-0000-00005C0A0000}"/>
    <cellStyle name="Title" xfId="5" builtinId="15" customBuiltin="1"/>
    <cellStyle name="Total 2" xfId="2595" xr:uid="{00000000-0005-0000-0000-00005E0A0000}"/>
    <cellStyle name="Warning Text 2" xfId="2593" xr:uid="{00000000-0005-0000-0000-00005F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92"/>
  <sheetViews>
    <sheetView tabSelected="1" zoomScale="55" zoomScaleNormal="55" workbookViewId="0">
      <pane xSplit="3" ySplit="10" topLeftCell="DC11" activePane="bottomRight" state="frozen"/>
      <selection pane="topRight" activeCell="D1" sqref="D1"/>
      <selection pane="bottomLeft" activeCell="A11" sqref="A11"/>
      <selection pane="bottomRight" activeCell="DI17" sqref="DI17"/>
    </sheetView>
  </sheetViews>
  <sheetFormatPr defaultColWidth="9.1796875" defaultRowHeight="14.5" x14ac:dyDescent="0.35"/>
  <cols>
    <col min="1" max="1" width="20.1796875" hidden="1" customWidth="1"/>
    <col min="2" max="2" width="28.54296875" customWidth="1"/>
    <col min="3" max="3" width="19.81640625" bestFit="1" customWidth="1"/>
    <col min="4" max="11" width="11.453125" hidden="1" customWidth="1"/>
    <col min="12" max="13" width="11.81640625" hidden="1" customWidth="1"/>
    <col min="14" max="16" width="12.453125" hidden="1" customWidth="1"/>
    <col min="17" max="18" width="11.81640625" hidden="1" customWidth="1"/>
    <col min="19" max="19" width="11.54296875" hidden="1" customWidth="1"/>
    <col min="20" max="20" width="11.81640625" hidden="1" customWidth="1"/>
    <col min="21" max="21" width="12.54296875" hidden="1" customWidth="1"/>
    <col min="22" max="28" width="13.1796875" hidden="1" customWidth="1"/>
    <col min="29" max="29" width="13.1796875" style="40" hidden="1" customWidth="1"/>
    <col min="30" max="32" width="13.1796875" hidden="1" customWidth="1"/>
    <col min="33" max="34" width="13.453125" hidden="1" customWidth="1"/>
    <col min="35" max="35" width="12.54296875" hidden="1" customWidth="1"/>
    <col min="36" max="36" width="13.1796875" hidden="1" customWidth="1"/>
    <col min="37" max="37" width="13.453125" hidden="1" customWidth="1"/>
    <col min="38" max="39" width="13.1796875" hidden="1" customWidth="1"/>
    <col min="40" max="40" width="13.453125" hidden="1" customWidth="1"/>
    <col min="41" max="42" width="13.1796875" hidden="1" customWidth="1"/>
    <col min="43" max="43" width="13.453125" hidden="1" customWidth="1"/>
    <col min="44" max="44" width="14.81640625" style="61" hidden="1" customWidth="1"/>
    <col min="45" max="45" width="13.81640625" hidden="1" customWidth="1"/>
    <col min="46" max="47" width="14.453125" hidden="1" customWidth="1"/>
    <col min="48" max="48" width="14.54296875" hidden="1" customWidth="1"/>
    <col min="49" max="52" width="14.453125" hidden="1" customWidth="1"/>
    <col min="53" max="53" width="14.453125" style="94" hidden="1" customWidth="1"/>
    <col min="54" max="54" width="14.453125" hidden="1" customWidth="1"/>
    <col min="55" max="55" width="14" style="61" hidden="1" customWidth="1"/>
    <col min="56" max="56" width="11.54296875" hidden="1" customWidth="1"/>
    <col min="57" max="57" width="13.453125" hidden="1" customWidth="1"/>
    <col min="58" max="58" width="12.54296875" hidden="1" customWidth="1"/>
    <col min="59" max="59" width="13.453125" style="61" hidden="1" customWidth="1"/>
    <col min="60" max="60" width="15.54296875" hidden="1" customWidth="1"/>
    <col min="61" max="61" width="13.453125" hidden="1" customWidth="1"/>
    <col min="62" max="62" width="14.453125" hidden="1" customWidth="1"/>
    <col min="63" max="63" width="13" hidden="1" customWidth="1"/>
    <col min="64" max="64" width="12.81640625" style="61" hidden="1" customWidth="1"/>
    <col min="65" max="65" width="13.453125" hidden="1" customWidth="1"/>
    <col min="66" max="66" width="14.1796875" style="61" hidden="1" customWidth="1"/>
    <col min="67" max="67" width="11.54296875" style="61" hidden="1" customWidth="1"/>
    <col min="68" max="68" width="11.54296875" hidden="1" customWidth="1"/>
    <col min="69" max="70" width="14.453125" hidden="1" customWidth="1"/>
    <col min="71" max="71" width="13.453125" hidden="1" customWidth="1"/>
    <col min="72" max="72" width="14.453125" hidden="1" customWidth="1"/>
    <col min="73" max="73" width="13.453125" hidden="1" customWidth="1"/>
    <col min="74" max="74" width="13.81640625" hidden="1" customWidth="1"/>
    <col min="75" max="75" width="12.54296875" style="61" hidden="1" customWidth="1"/>
    <col min="76" max="76" width="12.54296875" hidden="1" customWidth="1"/>
    <col min="77" max="77" width="12.81640625" hidden="1" customWidth="1"/>
    <col min="78" max="78" width="12.54296875" hidden="1" customWidth="1"/>
    <col min="79" max="79" width="12.54296875" style="130" hidden="1" customWidth="1"/>
    <col min="80" max="80" width="12.81640625" hidden="1" customWidth="1"/>
    <col min="81" max="81" width="16.453125" hidden="1" customWidth="1"/>
    <col min="82" max="82" width="12.54296875" hidden="1" customWidth="1"/>
    <col min="83" max="83" width="12.81640625" hidden="1" customWidth="1"/>
    <col min="84" max="85" width="13" hidden="1" customWidth="1"/>
    <col min="86" max="86" width="11.54296875" bestFit="1" customWidth="1"/>
    <col min="87" max="87" width="11.7265625" bestFit="1" customWidth="1"/>
    <col min="88" max="88" width="13.7265625" customWidth="1"/>
    <col min="89" max="89" width="14.26953125" customWidth="1"/>
    <col min="90" max="90" width="13" customWidth="1"/>
    <col min="91" max="91" width="15.1796875" customWidth="1"/>
    <col min="92" max="92" width="12.54296875" bestFit="1" customWidth="1"/>
    <col min="93" max="93" width="12.81640625" customWidth="1"/>
    <col min="94" max="94" width="12.1796875" bestFit="1" customWidth="1"/>
    <col min="95" max="95" width="12.54296875" bestFit="1" customWidth="1"/>
    <col min="96" max="97" width="13.1796875" customWidth="1"/>
    <col min="98" max="98" width="14.1796875" customWidth="1"/>
    <col min="99" max="99" width="12.453125" customWidth="1"/>
    <col min="100" max="100" width="13.54296875" customWidth="1"/>
    <col min="101" max="101" width="15.1796875" customWidth="1"/>
    <col min="102" max="103" width="16.1796875" bestFit="1" customWidth="1"/>
    <col min="104" max="104" width="12.7265625" customWidth="1"/>
    <col min="105" max="108" width="12.1796875" customWidth="1"/>
    <col min="109" max="109" width="11.453125" bestFit="1" customWidth="1"/>
    <col min="110" max="110" width="11.7265625" bestFit="1" customWidth="1"/>
    <col min="111" max="111" width="12" style="142" customWidth="1"/>
    <col min="113" max="113" width="16.81640625" bestFit="1" customWidth="1"/>
  </cols>
  <sheetData>
    <row r="1" spans="1:111" ht="15" thickBot="1" x14ac:dyDescent="0.4"/>
    <row r="2" spans="1:111" x14ac:dyDescent="0.35">
      <c r="A2" s="10" t="s">
        <v>0</v>
      </c>
      <c r="B2" s="11" t="s">
        <v>1</v>
      </c>
      <c r="C2" s="12" t="s">
        <v>2</v>
      </c>
    </row>
    <row r="3" spans="1:111" x14ac:dyDescent="0.35">
      <c r="A3" s="13" t="s">
        <v>3</v>
      </c>
      <c r="B3" s="14" t="s">
        <v>4</v>
      </c>
      <c r="C3" s="15" t="s">
        <v>5</v>
      </c>
      <c r="AL3" s="61"/>
    </row>
    <row r="4" spans="1:111" ht="15" thickBot="1" x14ac:dyDescent="0.4">
      <c r="A4" s="13" t="s">
        <v>6</v>
      </c>
      <c r="B4" t="s">
        <v>7</v>
      </c>
      <c r="C4" s="15" t="s">
        <v>8</v>
      </c>
      <c r="AL4" s="61"/>
      <c r="AM4" s="61"/>
    </row>
    <row r="5" spans="1:111" x14ac:dyDescent="0.35">
      <c r="A5" s="10" t="s">
        <v>9</v>
      </c>
      <c r="B5" s="16">
        <v>6</v>
      </c>
      <c r="C5" s="17" t="str">
        <f>"Scale = "&amp;IF(B5=0,"Unit",(IF(B5=3,"Thousand",(IF(B5=6,"Million",(IF(B5=9,"Billion")))))))</f>
        <v>Scale = Million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AJ5" s="61"/>
      <c r="AL5" s="61"/>
      <c r="AM5" s="61"/>
    </row>
    <row r="6" spans="1:111" x14ac:dyDescent="0.35">
      <c r="A6" s="13" t="s">
        <v>10</v>
      </c>
      <c r="B6" t="s">
        <v>11</v>
      </c>
      <c r="C6" s="19" t="str">
        <f>"Frequency = "&amp;IF(B6="A","Annual",IF(B6="Q", "Quarterly", "Monthly"))</f>
        <v>Frequency = Monthly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AL6" s="61"/>
      <c r="AM6" s="61"/>
    </row>
    <row r="7" spans="1:111" ht="15.75" customHeight="1" thickBot="1" x14ac:dyDescent="0.4">
      <c r="A7" s="20" t="s">
        <v>12</v>
      </c>
      <c r="B7" s="21" t="s">
        <v>13</v>
      </c>
      <c r="C7" s="22" t="s">
        <v>14</v>
      </c>
      <c r="AJ7" s="37"/>
      <c r="AL7" s="61"/>
      <c r="AM7" s="61"/>
      <c r="BM7" s="124"/>
      <c r="BW7" s="94"/>
    </row>
    <row r="8" spans="1:111" ht="15.5" x14ac:dyDescent="0.35">
      <c r="AM8" s="61"/>
      <c r="CA8" s="132"/>
    </row>
    <row r="9" spans="1:111" ht="15" thickBot="1" x14ac:dyDescent="0.4">
      <c r="AR9" s="9"/>
      <c r="BK9" s="61"/>
      <c r="BM9" s="61"/>
      <c r="BN9" s="124"/>
    </row>
    <row r="10" spans="1:111" ht="15" thickBot="1" x14ac:dyDescent="0.4">
      <c r="A10" s="23" t="s">
        <v>15</v>
      </c>
      <c r="B10" s="24" t="s">
        <v>16</v>
      </c>
      <c r="C10" s="24" t="s">
        <v>17</v>
      </c>
      <c r="D10" s="47" t="s">
        <v>91</v>
      </c>
      <c r="E10" s="48" t="s">
        <v>92</v>
      </c>
      <c r="F10" s="48" t="s">
        <v>93</v>
      </c>
      <c r="G10" s="48" t="s">
        <v>94</v>
      </c>
      <c r="H10" s="48" t="s">
        <v>95</v>
      </c>
      <c r="I10" s="48" t="s">
        <v>96</v>
      </c>
      <c r="J10" s="48" t="s">
        <v>97</v>
      </c>
      <c r="K10" s="48" t="s">
        <v>98</v>
      </c>
      <c r="L10" s="48" t="s">
        <v>99</v>
      </c>
      <c r="M10" s="48" t="s">
        <v>101</v>
      </c>
      <c r="N10" s="48" t="s">
        <v>102</v>
      </c>
      <c r="O10" s="72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79" t="s">
        <v>125</v>
      </c>
      <c r="AT10" s="79" t="s">
        <v>126</v>
      </c>
      <c r="AU10" s="79" t="s">
        <v>128</v>
      </c>
      <c r="AV10" s="79" t="s">
        <v>129</v>
      </c>
      <c r="AW10" s="79" t="s">
        <v>130</v>
      </c>
      <c r="AX10" s="79" t="s">
        <v>131</v>
      </c>
      <c r="AY10" s="79" t="s">
        <v>132</v>
      </c>
      <c r="AZ10" s="79" t="s">
        <v>133</v>
      </c>
      <c r="BA10" s="79" t="s">
        <v>134</v>
      </c>
      <c r="BB10" s="79" t="s">
        <v>135</v>
      </c>
      <c r="BC10" s="79" t="s">
        <v>136</v>
      </c>
      <c r="BD10" s="79" t="s">
        <v>137</v>
      </c>
      <c r="BE10" s="79" t="s">
        <v>138</v>
      </c>
      <c r="BF10" s="79" t="s">
        <v>139</v>
      </c>
      <c r="BG10" s="79" t="s">
        <v>140</v>
      </c>
      <c r="BH10" s="74" t="s">
        <v>141</v>
      </c>
      <c r="BI10" s="74" t="s">
        <v>142</v>
      </c>
      <c r="BJ10" s="74" t="s">
        <v>143</v>
      </c>
      <c r="BK10" s="74" t="s">
        <v>144</v>
      </c>
      <c r="BL10" s="74" t="s">
        <v>145</v>
      </c>
      <c r="BM10" s="74" t="s">
        <v>146</v>
      </c>
      <c r="BN10" s="74" t="s">
        <v>147</v>
      </c>
      <c r="BO10" s="74" t="s">
        <v>148</v>
      </c>
      <c r="BP10" s="74" t="s">
        <v>149</v>
      </c>
      <c r="BQ10" s="74" t="s">
        <v>150</v>
      </c>
      <c r="BR10" s="74" t="s">
        <v>151</v>
      </c>
      <c r="BS10" s="74" t="s">
        <v>152</v>
      </c>
      <c r="BT10" s="74" t="s">
        <v>153</v>
      </c>
      <c r="BU10" s="74" t="s">
        <v>154</v>
      </c>
      <c r="BV10" s="74" t="s">
        <v>155</v>
      </c>
      <c r="BW10" s="74" t="s">
        <v>156</v>
      </c>
      <c r="BX10" s="74" t="s">
        <v>157</v>
      </c>
      <c r="BY10" s="74" t="s">
        <v>158</v>
      </c>
      <c r="BZ10" s="74" t="s">
        <v>159</v>
      </c>
      <c r="CA10" s="74" t="s">
        <v>160</v>
      </c>
      <c r="CB10" s="74" t="s">
        <v>161</v>
      </c>
      <c r="CC10" s="74" t="s">
        <v>162</v>
      </c>
      <c r="CD10" s="74" t="s">
        <v>163</v>
      </c>
      <c r="CE10" s="74" t="s">
        <v>164</v>
      </c>
      <c r="CF10" s="74" t="s">
        <v>165</v>
      </c>
      <c r="CG10" s="74" t="s">
        <v>166</v>
      </c>
      <c r="CH10" s="74" t="s">
        <v>167</v>
      </c>
      <c r="CI10" s="74" t="s">
        <v>168</v>
      </c>
      <c r="CJ10" s="133" t="s">
        <v>169</v>
      </c>
      <c r="CK10" s="133" t="s">
        <v>170</v>
      </c>
      <c r="CL10" s="133" t="s">
        <v>171</v>
      </c>
      <c r="CM10" s="133" t="s">
        <v>172</v>
      </c>
      <c r="CN10" s="133" t="s">
        <v>173</v>
      </c>
      <c r="CO10" s="133" t="s">
        <v>174</v>
      </c>
      <c r="CP10" s="133" t="s">
        <v>175</v>
      </c>
      <c r="CQ10" s="133" t="s">
        <v>176</v>
      </c>
      <c r="CR10" s="133" t="s">
        <v>177</v>
      </c>
      <c r="CS10" s="133" t="s">
        <v>178</v>
      </c>
      <c r="CT10" s="133" t="s">
        <v>179</v>
      </c>
      <c r="CU10" s="133" t="s">
        <v>180</v>
      </c>
      <c r="CV10" s="133" t="s">
        <v>181</v>
      </c>
      <c r="CW10" s="133" t="s">
        <v>182</v>
      </c>
      <c r="CX10" s="133" t="s">
        <v>183</v>
      </c>
      <c r="CY10" s="133" t="s">
        <v>184</v>
      </c>
      <c r="CZ10" s="133" t="s">
        <v>185</v>
      </c>
      <c r="DA10" s="133" t="s">
        <v>186</v>
      </c>
      <c r="DB10" s="133" t="s">
        <v>187</v>
      </c>
      <c r="DC10" s="133" t="s">
        <v>188</v>
      </c>
      <c r="DD10" s="133" t="s">
        <v>189</v>
      </c>
      <c r="DE10" s="133" t="s">
        <v>190</v>
      </c>
      <c r="DF10" s="133" t="s">
        <v>191</v>
      </c>
      <c r="DG10" s="143" t="s">
        <v>192</v>
      </c>
    </row>
    <row r="11" spans="1:111" x14ac:dyDescent="0.35">
      <c r="A11" s="25" t="s">
        <v>66</v>
      </c>
      <c r="B11" s="26" t="s">
        <v>26</v>
      </c>
      <c r="C11" s="27" t="s">
        <v>42</v>
      </c>
      <c r="D11" s="49">
        <f t="shared" ref="D11:AM11" si="0">D12+D23</f>
        <v>2044999.0393699999</v>
      </c>
      <c r="E11" s="50">
        <f t="shared" si="0"/>
        <v>2045740.43356</v>
      </c>
      <c r="F11" s="50">
        <f t="shared" si="0"/>
        <v>2027253.3304000001</v>
      </c>
      <c r="G11" s="50">
        <f t="shared" si="0"/>
        <v>2050110.1469599998</v>
      </c>
      <c r="H11" s="50">
        <f t="shared" si="0"/>
        <v>2073935.8466000003</v>
      </c>
      <c r="I11" s="50">
        <f t="shared" si="0"/>
        <v>2086726.8310200002</v>
      </c>
      <c r="J11" s="50">
        <f t="shared" si="0"/>
        <v>2090513.4261699999</v>
      </c>
      <c r="K11" s="50">
        <f t="shared" si="0"/>
        <v>2085757.5240000002</v>
      </c>
      <c r="L11" s="50">
        <f t="shared" si="0"/>
        <v>2102222.92</v>
      </c>
      <c r="M11" s="50">
        <f t="shared" si="0"/>
        <v>2106436.2229700005</v>
      </c>
      <c r="N11" s="50">
        <f t="shared" si="0"/>
        <v>2065378.73006</v>
      </c>
      <c r="O11" s="50">
        <f t="shared" si="0"/>
        <v>2068759.4533400002</v>
      </c>
      <c r="P11" s="63">
        <f t="shared" si="0"/>
        <v>2077027.1697300002</v>
      </c>
      <c r="Q11" s="63">
        <f t="shared" si="0"/>
        <v>2102462.0389400003</v>
      </c>
      <c r="R11" s="63">
        <f t="shared" si="0"/>
        <v>2116703.0140999998</v>
      </c>
      <c r="S11" s="63">
        <f t="shared" si="0"/>
        <v>2113412.0392800001</v>
      </c>
      <c r="T11" s="63">
        <f t="shared" si="0"/>
        <v>2142892.9464500002</v>
      </c>
      <c r="U11" s="56">
        <f t="shared" si="0"/>
        <v>2144641.40496</v>
      </c>
      <c r="V11" s="56">
        <f t="shared" si="0"/>
        <v>2148476.7612000001</v>
      </c>
      <c r="W11" s="56">
        <f t="shared" si="0"/>
        <v>2150644.1934599997</v>
      </c>
      <c r="X11" s="56">
        <f t="shared" si="0"/>
        <v>2150063.4176000003</v>
      </c>
      <c r="Y11" s="56">
        <f t="shared" si="0"/>
        <v>2148129.3281099997</v>
      </c>
      <c r="Z11" s="56">
        <f t="shared" si="0"/>
        <v>2154474.2799230004</v>
      </c>
      <c r="AA11" s="56">
        <f t="shared" si="0"/>
        <v>2158846.3501072</v>
      </c>
      <c r="AB11" s="56">
        <f t="shared" si="0"/>
        <v>2107892.8371700002</v>
      </c>
      <c r="AC11" s="56">
        <f t="shared" si="0"/>
        <v>2073167.69154</v>
      </c>
      <c r="AD11" s="56">
        <f t="shared" si="0"/>
        <v>2032176.3786000004</v>
      </c>
      <c r="AE11" s="56">
        <f t="shared" si="0"/>
        <v>2035960.1644699997</v>
      </c>
      <c r="AF11" s="56">
        <f t="shared" si="0"/>
        <v>2143857.4165600003</v>
      </c>
      <c r="AG11" s="56">
        <f t="shared" si="0"/>
        <v>2075640.3509999998</v>
      </c>
      <c r="AH11" s="56">
        <f t="shared" si="0"/>
        <v>2049903.9361999999</v>
      </c>
      <c r="AI11" s="56">
        <f t="shared" si="0"/>
        <v>2037041.1337799998</v>
      </c>
      <c r="AJ11" s="56">
        <f t="shared" si="0"/>
        <v>2023129.8211199995</v>
      </c>
      <c r="AK11" s="56">
        <f t="shared" si="0"/>
        <v>2033659.9411599999</v>
      </c>
      <c r="AL11" s="56">
        <f t="shared" si="0"/>
        <v>2044415.6169999996</v>
      </c>
      <c r="AM11" s="56">
        <f t="shared" si="0"/>
        <v>2028153.9279999998</v>
      </c>
      <c r="AN11" s="56">
        <v>2028300.5</v>
      </c>
      <c r="AO11" s="66">
        <v>2063116.9067500001</v>
      </c>
      <c r="AP11" s="67">
        <f>AP12+AP23</f>
        <v>2070741.0561200003</v>
      </c>
      <c r="AQ11" s="67">
        <f>AQ12+AQ23</f>
        <v>2079377.4871499999</v>
      </c>
      <c r="AR11" s="67">
        <v>2106974.0480999993</v>
      </c>
      <c r="AS11" s="66">
        <f t="shared" ref="AS11:BX11" si="1">AS12+AS23</f>
        <v>2080203.3887200002</v>
      </c>
      <c r="AT11" s="66">
        <f t="shared" si="1"/>
        <v>2019532.0836405098</v>
      </c>
      <c r="AU11" s="91">
        <f t="shared" si="1"/>
        <v>2017320.2291899999</v>
      </c>
      <c r="AV11" s="91">
        <f t="shared" si="1"/>
        <v>2021184.4500000002</v>
      </c>
      <c r="AW11" s="91">
        <f t="shared" si="1"/>
        <v>2104918.17</v>
      </c>
      <c r="AX11" s="91">
        <f t="shared" si="1"/>
        <v>2029489.73</v>
      </c>
      <c r="AY11" s="91">
        <f t="shared" si="1"/>
        <v>2004658.29</v>
      </c>
      <c r="AZ11" s="104">
        <f t="shared" si="1"/>
        <v>2093470.88</v>
      </c>
      <c r="BA11" s="104">
        <f t="shared" si="1"/>
        <v>2078488.27</v>
      </c>
      <c r="BB11" s="104">
        <f t="shared" si="1"/>
        <v>2050179.5499999998</v>
      </c>
      <c r="BC11" s="104">
        <f t="shared" si="1"/>
        <v>2072276.2399999998</v>
      </c>
      <c r="BD11" s="67">
        <f t="shared" si="1"/>
        <v>2079002.17</v>
      </c>
      <c r="BE11" s="66">
        <f t="shared" si="1"/>
        <v>1984635.85</v>
      </c>
      <c r="BF11" s="91">
        <f t="shared" si="1"/>
        <v>2036951.2999999998</v>
      </c>
      <c r="BG11" s="91">
        <f t="shared" si="1"/>
        <v>1998667.9100000001</v>
      </c>
      <c r="BH11" s="125">
        <f t="shared" si="1"/>
        <v>1970612.1099999999</v>
      </c>
      <c r="BI11" s="125">
        <f t="shared" si="1"/>
        <v>2044379.21</v>
      </c>
      <c r="BJ11" s="125">
        <f t="shared" si="1"/>
        <v>2005048.3399999999</v>
      </c>
      <c r="BK11" s="125">
        <f t="shared" si="1"/>
        <v>2008086.3</v>
      </c>
      <c r="BL11" s="125">
        <f t="shared" si="1"/>
        <v>2082554.42</v>
      </c>
      <c r="BM11" s="125">
        <f t="shared" si="1"/>
        <v>2089631.6499532</v>
      </c>
      <c r="BN11" s="125">
        <f t="shared" si="1"/>
        <v>2054365.25</v>
      </c>
      <c r="BO11" s="125">
        <f t="shared" si="1"/>
        <v>2128438.3800000004</v>
      </c>
      <c r="BP11" s="125">
        <f t="shared" si="1"/>
        <v>2136734.28192</v>
      </c>
      <c r="BQ11" s="125">
        <f t="shared" si="1"/>
        <v>2079464.21</v>
      </c>
      <c r="BR11" s="125">
        <f t="shared" si="1"/>
        <v>2081487.0300000003</v>
      </c>
      <c r="BS11" s="125">
        <f t="shared" si="1"/>
        <v>2124891.46</v>
      </c>
      <c r="BT11" s="125">
        <f t="shared" si="1"/>
        <v>2085985.19</v>
      </c>
      <c r="BU11" s="125">
        <f t="shared" si="1"/>
        <v>2142626.7799999998</v>
      </c>
      <c r="BV11" s="125">
        <f t="shared" si="1"/>
        <v>2170441.2400000002</v>
      </c>
      <c r="BW11" s="125">
        <f t="shared" si="1"/>
        <v>2152560.5304399999</v>
      </c>
      <c r="BX11" s="125">
        <f t="shared" si="1"/>
        <v>2234350.04</v>
      </c>
      <c r="BY11" s="125">
        <f t="shared" ref="BY11:CX11" si="2">BY12+BY23</f>
        <v>2169796.2000000002</v>
      </c>
      <c r="BZ11" s="125">
        <f t="shared" si="2"/>
        <v>2162476.14</v>
      </c>
      <c r="CA11" s="125">
        <f t="shared" si="2"/>
        <v>2221653.29</v>
      </c>
      <c r="CB11" s="125">
        <f t="shared" si="2"/>
        <v>2201202.38</v>
      </c>
      <c r="CC11" s="125">
        <f t="shared" si="2"/>
        <v>2153205.2011099998</v>
      </c>
      <c r="CD11" s="125">
        <f t="shared" si="2"/>
        <v>2233288.2218707302</v>
      </c>
      <c r="CE11" s="125">
        <f t="shared" si="2"/>
        <v>2249781.88</v>
      </c>
      <c r="CF11" s="125">
        <f t="shared" si="2"/>
        <v>2245360.6643200004</v>
      </c>
      <c r="CG11" s="125">
        <f t="shared" si="2"/>
        <v>2224940.9059600001</v>
      </c>
      <c r="CH11" s="125">
        <f t="shared" si="2"/>
        <v>2218507.31</v>
      </c>
      <c r="CI11" s="125">
        <f t="shared" si="2"/>
        <v>2200138.8089999999</v>
      </c>
      <c r="CJ11" s="134">
        <f t="shared" si="2"/>
        <v>2218911.4899519999</v>
      </c>
      <c r="CK11" s="134">
        <f t="shared" si="2"/>
        <v>2216792.87</v>
      </c>
      <c r="CL11" s="134">
        <f t="shared" si="2"/>
        <v>2192897.1846599998</v>
      </c>
      <c r="CM11" s="134">
        <f t="shared" si="2"/>
        <v>2215287.3804959999</v>
      </c>
      <c r="CN11" s="134">
        <f t="shared" si="2"/>
        <v>2211883.75</v>
      </c>
      <c r="CO11" s="134">
        <f t="shared" si="2"/>
        <v>2219801.7800000003</v>
      </c>
      <c r="CP11" s="134">
        <f t="shared" si="2"/>
        <v>2237314.8369999998</v>
      </c>
      <c r="CQ11" s="134">
        <f t="shared" si="2"/>
        <v>2242020.2459359998</v>
      </c>
      <c r="CR11" s="134">
        <f t="shared" si="2"/>
        <v>2216338.91</v>
      </c>
      <c r="CS11" s="134">
        <f t="shared" si="2"/>
        <v>2207465.4618100002</v>
      </c>
      <c r="CT11" s="134">
        <f t="shared" si="2"/>
        <v>2199599.5099999998</v>
      </c>
      <c r="CU11" s="134">
        <f t="shared" si="2"/>
        <v>2152387.7599999998</v>
      </c>
      <c r="CV11" s="134">
        <f t="shared" si="2"/>
        <v>2182608.5598600004</v>
      </c>
      <c r="CW11" s="134">
        <f t="shared" si="2"/>
        <v>2209429.48</v>
      </c>
      <c r="CX11" s="134">
        <f t="shared" si="2"/>
        <v>2198807.94</v>
      </c>
      <c r="CY11" s="134">
        <f t="shared" ref="CY11:CZ11" si="3">CY12+CY23</f>
        <v>2186898.5739332894</v>
      </c>
      <c r="CZ11" s="134">
        <f t="shared" si="3"/>
        <v>2271505.2216145359</v>
      </c>
      <c r="DA11" s="134">
        <f t="shared" ref="DA11:DB11" si="4">DA12+DA23</f>
        <v>2268808.4446081561</v>
      </c>
      <c r="DB11" s="134">
        <f t="shared" si="4"/>
        <v>2272507.052834</v>
      </c>
      <c r="DC11" s="134">
        <f t="shared" ref="DC11:DD11" si="5">DC12+DC23</f>
        <v>2250745.4240759998</v>
      </c>
      <c r="DD11" s="134">
        <f t="shared" si="5"/>
        <v>2245496.9944806485</v>
      </c>
      <c r="DE11" s="134">
        <f t="shared" ref="DE11:DF11" si="6">DE12+DE23</f>
        <v>2251484.5289940001</v>
      </c>
      <c r="DF11" s="134">
        <f t="shared" si="6"/>
        <v>2241195.0621699998</v>
      </c>
      <c r="DG11" s="144">
        <f t="shared" ref="DG11" si="7">DG12+DG23</f>
        <v>2263331.9500000002</v>
      </c>
    </row>
    <row r="12" spans="1:111" x14ac:dyDescent="0.35">
      <c r="A12" s="25" t="s">
        <v>67</v>
      </c>
      <c r="B12" s="28" t="s">
        <v>27</v>
      </c>
      <c r="C12" s="27" t="s">
        <v>43</v>
      </c>
      <c r="D12" s="5">
        <f t="shared" ref="D12:O12" si="8">D13+D18</f>
        <v>1056208.28</v>
      </c>
      <c r="E12" s="3">
        <f t="shared" si="8"/>
        <v>1056703.58</v>
      </c>
      <c r="F12" s="3">
        <f t="shared" si="8"/>
        <v>1058106.01</v>
      </c>
      <c r="G12" s="3">
        <f t="shared" si="8"/>
        <v>857433.44</v>
      </c>
      <c r="H12" s="3">
        <f t="shared" si="8"/>
        <v>857433.44</v>
      </c>
      <c r="I12" s="3">
        <f t="shared" si="8"/>
        <v>858861.89999999991</v>
      </c>
      <c r="J12" s="3">
        <f t="shared" si="8"/>
        <v>859587.4800000001</v>
      </c>
      <c r="K12" s="3">
        <f t="shared" si="8"/>
        <v>859812.62000000011</v>
      </c>
      <c r="L12" s="3">
        <f t="shared" si="8"/>
        <v>860262.61000000022</v>
      </c>
      <c r="M12" s="3">
        <f t="shared" si="8"/>
        <v>860972.88000000012</v>
      </c>
      <c r="N12" s="3">
        <f t="shared" si="8"/>
        <v>816113.42</v>
      </c>
      <c r="O12" s="3">
        <f t="shared" si="8"/>
        <v>815948.48</v>
      </c>
      <c r="P12" s="63">
        <f t="shared" ref="P12:W12" si="9">P13+P18</f>
        <v>816508.01000000013</v>
      </c>
      <c r="Q12" s="63">
        <f t="shared" si="9"/>
        <v>823845.71</v>
      </c>
      <c r="R12" s="63">
        <f t="shared" si="9"/>
        <v>824482.28</v>
      </c>
      <c r="S12" s="63">
        <f t="shared" si="9"/>
        <v>824998.94000000006</v>
      </c>
      <c r="T12" s="63">
        <f t="shared" si="9"/>
        <v>833550.54</v>
      </c>
      <c r="U12" s="56">
        <f t="shared" si="9"/>
        <v>824431.14</v>
      </c>
      <c r="V12" s="56">
        <f t="shared" si="9"/>
        <v>825717.14</v>
      </c>
      <c r="W12" s="56">
        <f t="shared" si="9"/>
        <v>834367.95</v>
      </c>
      <c r="X12" s="56">
        <f t="shared" ref="X12:Y12" si="10">X13+X18</f>
        <v>834319.96</v>
      </c>
      <c r="Y12" s="56">
        <f t="shared" si="10"/>
        <v>834486.79999999981</v>
      </c>
      <c r="Z12" s="56">
        <f t="shared" ref="Z12:AA12" si="11">Z13+Z18</f>
        <v>848067.96</v>
      </c>
      <c r="AA12" s="56">
        <f t="shared" si="11"/>
        <v>848505.8899999999</v>
      </c>
      <c r="AB12" s="56">
        <f t="shared" ref="AB12:AC12" si="12">AB13+AB18</f>
        <v>862446.07000000007</v>
      </c>
      <c r="AC12" s="56">
        <f t="shared" si="12"/>
        <v>820164.40000000014</v>
      </c>
      <c r="AD12" s="56">
        <f t="shared" ref="AD12:AI12" si="13">AD13+AD18</f>
        <v>819970.80000000016</v>
      </c>
      <c r="AE12" s="56">
        <f t="shared" si="13"/>
        <v>820252.10399999993</v>
      </c>
      <c r="AF12" s="56">
        <f t="shared" si="13"/>
        <v>821902.89500000002</v>
      </c>
      <c r="AG12" s="56">
        <f t="shared" si="13"/>
        <v>754052.92999999993</v>
      </c>
      <c r="AH12" s="56">
        <f t="shared" si="13"/>
        <v>758388.41999999993</v>
      </c>
      <c r="AI12" s="56">
        <f t="shared" si="13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66">
        <v>770444.71000000008</v>
      </c>
      <c r="AP12" s="67">
        <f>AP13+AP18</f>
        <v>774648.93</v>
      </c>
      <c r="AQ12" s="67">
        <f>AQ13+AQ18</f>
        <v>734520.33000000007</v>
      </c>
      <c r="AR12" s="67">
        <v>741153.45</v>
      </c>
      <c r="AS12" s="66">
        <f t="shared" ref="AS12:AW12" si="14">AS13+AS18</f>
        <v>739930.35</v>
      </c>
      <c r="AT12" s="66">
        <f t="shared" si="14"/>
        <v>744320.76364051003</v>
      </c>
      <c r="AU12" s="66">
        <f t="shared" si="14"/>
        <v>752048.66000000015</v>
      </c>
      <c r="AV12" s="66">
        <f t="shared" si="14"/>
        <v>752120.94000000006</v>
      </c>
      <c r="AW12" s="66">
        <f t="shared" si="14"/>
        <v>756040.60000000009</v>
      </c>
      <c r="AX12" s="66">
        <f t="shared" ref="AX12:BD12" si="15">AX13+AX18</f>
        <v>755710.37000000011</v>
      </c>
      <c r="AY12" s="66">
        <f t="shared" si="15"/>
        <v>755977.66999999993</v>
      </c>
      <c r="AZ12" s="67">
        <f t="shared" si="15"/>
        <v>761313.31</v>
      </c>
      <c r="BA12" s="67">
        <f t="shared" si="15"/>
        <v>768920.34000000008</v>
      </c>
      <c r="BB12" s="67">
        <f t="shared" si="15"/>
        <v>769236.91999999993</v>
      </c>
      <c r="BC12" s="67">
        <f t="shared" si="15"/>
        <v>742119.77999999991</v>
      </c>
      <c r="BD12" s="67">
        <f t="shared" si="15"/>
        <v>742541.64999999991</v>
      </c>
      <c r="BE12" s="66">
        <f t="shared" ref="BE12:BF12" si="16">BE13+BE18</f>
        <v>734643.94000000006</v>
      </c>
      <c r="BF12" s="66">
        <f t="shared" si="16"/>
        <v>742841.34</v>
      </c>
      <c r="BG12" s="66">
        <f t="shared" ref="BG12:BH12" si="17">BG13+BG18</f>
        <v>743306.73</v>
      </c>
      <c r="BH12" s="112">
        <f t="shared" si="17"/>
        <v>743902.1</v>
      </c>
      <c r="BI12" s="112">
        <f t="shared" ref="BI12" si="18">BI13+BI18</f>
        <v>744502.9</v>
      </c>
      <c r="BJ12" s="112">
        <f t="shared" ref="BJ12:BO12" si="19">BJ13+BJ18</f>
        <v>744506.94000000006</v>
      </c>
      <c r="BK12" s="112">
        <f t="shared" si="19"/>
        <v>761804.51</v>
      </c>
      <c r="BL12" s="112">
        <f t="shared" si="19"/>
        <v>764525.45000000007</v>
      </c>
      <c r="BM12" s="112">
        <f t="shared" si="19"/>
        <v>769573.68</v>
      </c>
      <c r="BN12" s="112">
        <f t="shared" si="19"/>
        <v>769693.41</v>
      </c>
      <c r="BO12" s="112">
        <f t="shared" si="19"/>
        <v>776579.46000000008</v>
      </c>
      <c r="BP12" s="112">
        <f t="shared" ref="BP12:BQ12" si="20">BP13+BP18</f>
        <v>777197.41</v>
      </c>
      <c r="BQ12" s="112">
        <f t="shared" si="20"/>
        <v>785443.7</v>
      </c>
      <c r="BR12" s="112">
        <f t="shared" ref="BR12:BS12" si="21">BR13+BR18</f>
        <v>775639.09</v>
      </c>
      <c r="BS12" s="112">
        <f t="shared" si="21"/>
        <v>775983.23</v>
      </c>
      <c r="BT12" s="112">
        <f t="shared" ref="BT12:BU12" si="22">BT13+BT18</f>
        <v>776483.16</v>
      </c>
      <c r="BU12" s="112">
        <f t="shared" si="22"/>
        <v>777109.83</v>
      </c>
      <c r="BV12" s="112">
        <f t="shared" ref="BV12:BW12" si="23">BV13+BV18</f>
        <v>787038.18</v>
      </c>
      <c r="BW12" s="112">
        <f t="shared" si="23"/>
        <v>795225.02</v>
      </c>
      <c r="BX12" s="112">
        <f t="shared" ref="BX12:BY12" si="24">BX13+BX18</f>
        <v>798667.18</v>
      </c>
      <c r="BY12" s="112">
        <f t="shared" si="24"/>
        <v>782623.05</v>
      </c>
      <c r="BZ12" s="112">
        <f t="shared" ref="BZ12:CA12" si="25">BZ13+BZ18</f>
        <v>782977.70000000007</v>
      </c>
      <c r="CA12" s="112">
        <f t="shared" si="25"/>
        <v>793771.25</v>
      </c>
      <c r="CB12" s="112">
        <f t="shared" ref="CB12:CC12" si="26">CB13+CB18</f>
        <v>799592.55999999994</v>
      </c>
      <c r="CC12" s="112">
        <f t="shared" si="26"/>
        <v>800458.93</v>
      </c>
      <c r="CD12" s="112">
        <f t="shared" ref="CD12:CJ12" si="27">CD13+CD18</f>
        <v>806536.14354073012</v>
      </c>
      <c r="CE12" s="112">
        <f t="shared" si="27"/>
        <v>817720.55</v>
      </c>
      <c r="CF12" s="112">
        <f t="shared" si="27"/>
        <v>824074.03</v>
      </c>
      <c r="CG12" s="112">
        <f t="shared" si="27"/>
        <v>824540.93</v>
      </c>
      <c r="CH12" s="112">
        <f t="shared" si="27"/>
        <v>809437.47</v>
      </c>
      <c r="CI12" s="112">
        <f t="shared" si="27"/>
        <v>810089.73</v>
      </c>
      <c r="CJ12" s="135">
        <f t="shared" si="27"/>
        <v>806818.9</v>
      </c>
      <c r="CK12" s="135">
        <f t="shared" ref="CK12:CL12" si="28">CK13+CK18</f>
        <v>806818.9</v>
      </c>
      <c r="CL12" s="135">
        <f t="shared" si="28"/>
        <v>813223.79</v>
      </c>
      <c r="CM12" s="135">
        <f t="shared" ref="CM12:CN12" si="29">CM13+CM18</f>
        <v>824734.38</v>
      </c>
      <c r="CN12" s="135">
        <f t="shared" si="29"/>
        <v>835918.23</v>
      </c>
      <c r="CO12" s="135">
        <f t="shared" ref="CO12:CP12" si="30">CO13+CO18</f>
        <v>836635.53</v>
      </c>
      <c r="CP12" s="135">
        <f t="shared" si="30"/>
        <v>843759.94</v>
      </c>
      <c r="CQ12" s="135">
        <f t="shared" ref="CQ12:CR12" si="31">CQ13+CQ18</f>
        <v>844867.74</v>
      </c>
      <c r="CR12" s="135">
        <f t="shared" si="31"/>
        <v>845782.34000000008</v>
      </c>
      <c r="CS12" s="135">
        <f t="shared" ref="CS12:CT12" si="32">CS13+CS18</f>
        <v>820278.15</v>
      </c>
      <c r="CT12" s="135">
        <f t="shared" si="32"/>
        <v>820333.17</v>
      </c>
      <c r="CU12" s="135">
        <f t="shared" ref="CU12:CV12" si="33">CU13+CU18</f>
        <v>799313.26</v>
      </c>
      <c r="CV12" s="135">
        <f t="shared" si="33"/>
        <v>808759.02</v>
      </c>
      <c r="CW12" s="135">
        <f t="shared" ref="CW12" si="34">CW13+CW18</f>
        <v>816927.27</v>
      </c>
      <c r="CX12" s="135">
        <f t="shared" ref="CX12:DC12" si="35">CX13+CX18</f>
        <v>817174.75</v>
      </c>
      <c r="CY12" s="135">
        <f t="shared" si="35"/>
        <v>822938.52</v>
      </c>
      <c r="CZ12" s="135">
        <f t="shared" si="35"/>
        <v>826829.82300000009</v>
      </c>
      <c r="DA12" s="135">
        <f t="shared" si="35"/>
        <v>826829.82580827002</v>
      </c>
      <c r="DB12" s="135">
        <f t="shared" si="35"/>
        <v>828516.2300000001</v>
      </c>
      <c r="DC12" s="135">
        <f t="shared" si="35"/>
        <v>829157.4</v>
      </c>
      <c r="DD12" s="135">
        <f t="shared" ref="DD12:DE12" si="36">DD13+DD18</f>
        <v>830152.14980864862</v>
      </c>
      <c r="DE12" s="135">
        <f t="shared" si="36"/>
        <v>831096.72000000009</v>
      </c>
      <c r="DF12" s="135">
        <f t="shared" ref="DF12:DG12" si="37">DF13+DF18</f>
        <v>831459.81</v>
      </c>
      <c r="DG12" s="145">
        <f t="shared" si="37"/>
        <v>831496.13</v>
      </c>
    </row>
    <row r="13" spans="1:111" x14ac:dyDescent="0.35">
      <c r="A13" s="25" t="s">
        <v>68</v>
      </c>
      <c r="B13" s="1" t="s">
        <v>28</v>
      </c>
      <c r="C13" s="27" t="s">
        <v>45</v>
      </c>
      <c r="D13" s="5">
        <f>SUM(D14:D17)</f>
        <v>67094.789999999994</v>
      </c>
      <c r="E13" s="3">
        <f t="shared" ref="E13:AF13" si="38">SUM(E14:E17)</f>
        <v>66381.37</v>
      </c>
      <c r="F13" s="3">
        <f t="shared" si="38"/>
        <v>66384.69</v>
      </c>
      <c r="G13" s="3">
        <f t="shared" si="38"/>
        <v>64884.39</v>
      </c>
      <c r="H13" s="3">
        <f t="shared" si="38"/>
        <v>64884.39</v>
      </c>
      <c r="I13" s="3">
        <f t="shared" si="38"/>
        <v>70917.06</v>
      </c>
      <c r="J13" s="3">
        <f t="shared" si="38"/>
        <v>70959.520000000004</v>
      </c>
      <c r="K13" s="3">
        <f t="shared" si="38"/>
        <v>70964.850000000006</v>
      </c>
      <c r="L13" s="3">
        <f t="shared" si="38"/>
        <v>70991.17</v>
      </c>
      <c r="M13" s="3">
        <f t="shared" si="38"/>
        <v>71043.05</v>
      </c>
      <c r="N13" s="3">
        <f t="shared" si="38"/>
        <v>10175.209999999999</v>
      </c>
      <c r="O13" s="3">
        <f t="shared" si="38"/>
        <v>10184.83</v>
      </c>
      <c r="P13" s="3">
        <f t="shared" si="38"/>
        <v>10241.15</v>
      </c>
      <c r="Q13" s="3">
        <f t="shared" si="38"/>
        <v>82954.37000000001</v>
      </c>
      <c r="R13" s="3">
        <f t="shared" si="38"/>
        <v>83003.62000000001</v>
      </c>
      <c r="S13" s="3">
        <f t="shared" si="38"/>
        <v>83012.47</v>
      </c>
      <c r="T13" s="3">
        <f t="shared" si="38"/>
        <v>78152.850000000006</v>
      </c>
      <c r="U13" s="3">
        <f t="shared" si="38"/>
        <v>68491.26999999999</v>
      </c>
      <c r="V13" s="3">
        <f t="shared" si="38"/>
        <v>69012.87</v>
      </c>
      <c r="W13" s="3">
        <f t="shared" si="38"/>
        <v>73366.84</v>
      </c>
      <c r="X13" s="3">
        <f t="shared" si="38"/>
        <v>73379.31</v>
      </c>
      <c r="Y13" s="3">
        <f t="shared" si="38"/>
        <v>73379.31</v>
      </c>
      <c r="Z13" s="3">
        <f t="shared" si="38"/>
        <v>81098.820000000007</v>
      </c>
      <c r="AA13" s="3">
        <f t="shared" si="38"/>
        <v>81098.820000000007</v>
      </c>
      <c r="AB13" s="3">
        <f t="shared" si="38"/>
        <v>81698.820000000007</v>
      </c>
      <c r="AC13" s="3">
        <f t="shared" si="38"/>
        <v>17810.920000000002</v>
      </c>
      <c r="AD13" s="3">
        <f t="shared" si="38"/>
        <v>18210.920000000002</v>
      </c>
      <c r="AE13" s="3">
        <f t="shared" si="38"/>
        <v>76849.210000000006</v>
      </c>
      <c r="AF13" s="3">
        <f t="shared" si="38"/>
        <v>77329.16</v>
      </c>
      <c r="AG13" s="56">
        <f t="shared" ref="AG13:AL13" si="39">SUM(AG14:AG17)</f>
        <v>79454.16</v>
      </c>
      <c r="AH13" s="56">
        <f t="shared" si="39"/>
        <v>79454.16</v>
      </c>
      <c r="AI13" s="56">
        <f t="shared" si="39"/>
        <v>75665.58</v>
      </c>
      <c r="AJ13" s="56">
        <f t="shared" si="39"/>
        <v>75664.09</v>
      </c>
      <c r="AK13" s="56">
        <f t="shared" si="39"/>
        <v>75664.09</v>
      </c>
      <c r="AL13" s="56">
        <f t="shared" si="39"/>
        <v>68294.73</v>
      </c>
      <c r="AM13" s="56">
        <f t="shared" ref="AM13" si="40">SUM(AM14:AM17)</f>
        <v>68211.83</v>
      </c>
      <c r="AN13" s="56">
        <v>68411.05</v>
      </c>
      <c r="AO13" s="66">
        <v>68711.05</v>
      </c>
      <c r="AP13" s="67">
        <f>SUM(AP14:AP17)</f>
        <v>68909.48</v>
      </c>
      <c r="AQ13" s="67">
        <f>SUM(AQ14:AQ17)</f>
        <v>51093.88</v>
      </c>
      <c r="AR13" s="67">
        <v>51293.079999999994</v>
      </c>
      <c r="AS13" s="66">
        <f t="shared" ref="AS13:AX13" si="41">SUM(AS14:AS17)</f>
        <v>57968.590000000004</v>
      </c>
      <c r="AT13" s="66">
        <f t="shared" si="41"/>
        <v>58066.99</v>
      </c>
      <c r="AU13" s="66">
        <f t="shared" si="41"/>
        <v>58164.91</v>
      </c>
      <c r="AV13" s="66">
        <f t="shared" si="41"/>
        <v>57920.100000000006</v>
      </c>
      <c r="AW13" s="66">
        <f t="shared" si="41"/>
        <v>58620.100000000006</v>
      </c>
      <c r="AX13" s="66">
        <f t="shared" si="41"/>
        <v>58499.060000000005</v>
      </c>
      <c r="AY13" s="66">
        <f t="shared" ref="AY13:BF13" si="42">SUM(AY14:AY17)</f>
        <v>58741.19</v>
      </c>
      <c r="AZ13" s="67">
        <f t="shared" si="42"/>
        <v>58741.19</v>
      </c>
      <c r="BA13" s="67">
        <f t="shared" si="42"/>
        <v>58841.19</v>
      </c>
      <c r="BB13" s="67">
        <f t="shared" si="42"/>
        <v>58841.19</v>
      </c>
      <c r="BC13" s="67">
        <f t="shared" si="42"/>
        <v>18417.7</v>
      </c>
      <c r="BD13" s="67">
        <f t="shared" si="42"/>
        <v>18517.7</v>
      </c>
      <c r="BE13" s="66">
        <f t="shared" si="42"/>
        <v>10102</v>
      </c>
      <c r="BF13" s="66">
        <f t="shared" si="42"/>
        <v>99699.12</v>
      </c>
      <c r="BG13" s="66">
        <f t="shared" ref="BG13:BH13" si="43">SUM(BG14:BG17)</f>
        <v>99799.12</v>
      </c>
      <c r="BH13" s="112">
        <f t="shared" si="43"/>
        <v>99799.12</v>
      </c>
      <c r="BI13" s="112">
        <f t="shared" ref="BI13:BJ13" si="44">SUM(BI14:BI17)</f>
        <v>99799.12</v>
      </c>
      <c r="BJ13" s="112">
        <f t="shared" si="44"/>
        <v>99797.119999999995</v>
      </c>
      <c r="BK13" s="112">
        <f t="shared" ref="BK13:BL13" si="45">SUM(BK14:BK17)</f>
        <v>99797.119999999995</v>
      </c>
      <c r="BL13" s="112">
        <f t="shared" si="45"/>
        <v>99797.119999999995</v>
      </c>
      <c r="BM13" s="112">
        <f t="shared" ref="BM13" si="46">SUM(BM14:BM17)</f>
        <v>126292.12</v>
      </c>
      <c r="BN13" s="112">
        <f t="shared" ref="BN13:BO13" si="47">SUM(BN14:BN17)</f>
        <v>126292.12</v>
      </c>
      <c r="BO13" s="112">
        <f t="shared" si="47"/>
        <v>126292.12</v>
      </c>
      <c r="BP13" s="112">
        <f t="shared" ref="BP13:BQ13" si="48">SUM(BP14:BP17)</f>
        <v>126292.12</v>
      </c>
      <c r="BQ13" s="112">
        <f t="shared" si="48"/>
        <v>126342.33</v>
      </c>
      <c r="BR13" s="112">
        <f t="shared" ref="BR13:BS13" si="49">SUM(BR14:BR17)</f>
        <v>36845.21</v>
      </c>
      <c r="BS13" s="112">
        <f t="shared" si="49"/>
        <v>36845.21</v>
      </c>
      <c r="BT13" s="112">
        <f t="shared" ref="BT13:BU13" si="50">SUM(BT14:BT17)</f>
        <v>36845.21</v>
      </c>
      <c r="BU13" s="112">
        <f t="shared" si="50"/>
        <v>36845.21</v>
      </c>
      <c r="BV13" s="112">
        <f t="shared" ref="BV13:BW13" si="51">SUM(BV14:BV17)</f>
        <v>52559.47</v>
      </c>
      <c r="BW13" s="112">
        <f t="shared" si="51"/>
        <v>52509.19</v>
      </c>
      <c r="BX13" s="112">
        <f t="shared" ref="BX13:BY13" si="52">SUM(BX14:BX17)</f>
        <v>56509.22</v>
      </c>
      <c r="BY13" s="112">
        <f t="shared" si="52"/>
        <v>30014.240000000002</v>
      </c>
      <c r="BZ13" s="112">
        <f t="shared" ref="BZ13:CA13" si="53">SUM(BZ14:BZ17)</f>
        <v>30014.26</v>
      </c>
      <c r="CA13" s="112">
        <f t="shared" si="53"/>
        <v>30014.32</v>
      </c>
      <c r="CB13" s="112">
        <f t="shared" ref="CB13:CC13" si="54">SUM(CB14:CB17)</f>
        <v>30016.44</v>
      </c>
      <c r="CC13" s="112">
        <f t="shared" si="54"/>
        <v>30016.52</v>
      </c>
      <c r="CD13" s="112">
        <f t="shared" ref="CD13:CE13" si="55">SUM(CD14:CD17)</f>
        <v>30016.52</v>
      </c>
      <c r="CE13" s="112">
        <f t="shared" si="55"/>
        <v>30016.74</v>
      </c>
      <c r="CF13" s="112">
        <f t="shared" ref="CF13:CG13" si="56">SUM(CF14:CF17)</f>
        <v>30016.78</v>
      </c>
      <c r="CG13" s="112">
        <f t="shared" si="56"/>
        <v>72905.14</v>
      </c>
      <c r="CH13" s="112">
        <f t="shared" ref="CH13:CJ13" si="57">SUM(CH14:CH17)</f>
        <v>57190.38</v>
      </c>
      <c r="CI13" s="112">
        <f t="shared" si="57"/>
        <v>104760.23</v>
      </c>
      <c r="CJ13" s="135">
        <f t="shared" si="57"/>
        <v>100569.64</v>
      </c>
      <c r="CK13" s="135">
        <f t="shared" ref="CK13:CL13" si="58">SUM(CK14:CK17)</f>
        <v>100569.64</v>
      </c>
      <c r="CL13" s="135">
        <f t="shared" si="58"/>
        <v>100569.64</v>
      </c>
      <c r="CM13" s="135">
        <f t="shared" ref="CM13:CN13" si="59">SUM(CM14:CM17)</f>
        <v>100569.64</v>
      </c>
      <c r="CN13" s="135">
        <f t="shared" si="59"/>
        <v>100567.59</v>
      </c>
      <c r="CO13" s="135">
        <f t="shared" ref="CO13:CP13" si="60">SUM(CO14:CO17)</f>
        <v>100567.59</v>
      </c>
      <c r="CP13" s="135">
        <f t="shared" si="60"/>
        <v>100758.18</v>
      </c>
      <c r="CQ13" s="135">
        <f t="shared" ref="CQ13:CR13" si="61">SUM(CQ14:CQ17)</f>
        <v>100758.19</v>
      </c>
      <c r="CR13" s="135">
        <f t="shared" si="61"/>
        <v>100758.18</v>
      </c>
      <c r="CS13" s="135">
        <f t="shared" ref="CS13:CT13" si="62">SUM(CS14:CS17)</f>
        <v>57869.85</v>
      </c>
      <c r="CT13" s="135">
        <f t="shared" si="62"/>
        <v>57935.64</v>
      </c>
      <c r="CU13" s="135">
        <f t="shared" ref="CU13:CV13" si="63">SUM(CU14:CU17)</f>
        <v>10365.790000000001</v>
      </c>
      <c r="CV13" s="135">
        <f t="shared" si="63"/>
        <v>15389.33</v>
      </c>
      <c r="CW13" s="135">
        <f t="shared" ref="CW13" si="64">SUM(CW14:CW17)</f>
        <v>15389.33</v>
      </c>
      <c r="CX13" s="135">
        <f t="shared" ref="CX13:DC13" si="65">SUM(CX14:CX17)</f>
        <v>15389.33</v>
      </c>
      <c r="CY13" s="135">
        <f t="shared" si="65"/>
        <v>15389.33</v>
      </c>
      <c r="CZ13" s="135">
        <f t="shared" si="65"/>
        <v>29036.546999999999</v>
      </c>
      <c r="DA13" s="135">
        <f t="shared" si="65"/>
        <v>29036.55</v>
      </c>
      <c r="DB13" s="135">
        <f t="shared" si="65"/>
        <v>52741.05</v>
      </c>
      <c r="DC13" s="135">
        <f t="shared" si="65"/>
        <v>52741.05</v>
      </c>
      <c r="DD13" s="135">
        <f t="shared" ref="DD13:DE13" si="66">SUM(DD14:DD17)</f>
        <v>52741.047793999998</v>
      </c>
      <c r="DE13" s="135">
        <f t="shared" si="66"/>
        <v>52711.05</v>
      </c>
      <c r="DF13" s="135">
        <f t="shared" ref="DF13:DG13" si="67">SUM(DF14:DF17)</f>
        <v>66799.320000000007</v>
      </c>
      <c r="DG13" s="145">
        <f t="shared" si="67"/>
        <v>158678.73000000001</v>
      </c>
    </row>
    <row r="14" spans="1:111" x14ac:dyDescent="0.35">
      <c r="A14" s="25" t="s">
        <v>69</v>
      </c>
      <c r="B14" s="29" t="s">
        <v>29</v>
      </c>
      <c r="C14" s="27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54">
        <v>3.37</v>
      </c>
      <c r="Q14" s="54">
        <v>72602.27</v>
      </c>
      <c r="R14" s="54">
        <v>72602.27</v>
      </c>
      <c r="S14" s="54">
        <v>72602.27</v>
      </c>
      <c r="T14" s="54">
        <v>67691.27</v>
      </c>
      <c r="U14" s="55">
        <v>64491.27</v>
      </c>
      <c r="V14" s="55">
        <v>64491.27</v>
      </c>
      <c r="W14" s="55">
        <v>68491.27</v>
      </c>
      <c r="X14" s="55">
        <v>68491.27</v>
      </c>
      <c r="Y14" s="55">
        <v>68491.27</v>
      </c>
      <c r="Z14" s="38">
        <v>75978.77</v>
      </c>
      <c r="AA14" s="55">
        <v>75978.77</v>
      </c>
      <c r="AB14" s="55">
        <v>75978.77</v>
      </c>
      <c r="AC14" s="55">
        <v>11490.87</v>
      </c>
      <c r="AD14" s="55">
        <v>11490.87</v>
      </c>
      <c r="AE14" s="55">
        <v>69929.16</v>
      </c>
      <c r="AF14" s="55">
        <v>69929.16</v>
      </c>
      <c r="AG14" s="55">
        <v>69929.16</v>
      </c>
      <c r="AH14" s="55">
        <v>69929.16</v>
      </c>
      <c r="AI14" s="55">
        <v>65929.16</v>
      </c>
      <c r="AJ14" s="55">
        <v>65929.16</v>
      </c>
      <c r="AK14" s="55">
        <v>65929.16</v>
      </c>
      <c r="AL14" s="55">
        <v>58561.33</v>
      </c>
      <c r="AM14" s="55">
        <v>58561.33</v>
      </c>
      <c r="AN14" s="55">
        <v>58561.33</v>
      </c>
      <c r="AO14" s="8">
        <v>58561.33</v>
      </c>
      <c r="AP14" s="55">
        <v>58561.33</v>
      </c>
      <c r="AQ14" s="70">
        <v>40646.519999999997</v>
      </c>
      <c r="AR14" s="70">
        <v>40646.519999999997</v>
      </c>
      <c r="AS14" s="76">
        <v>49062.22</v>
      </c>
      <c r="AT14" s="76">
        <v>49062.22</v>
      </c>
      <c r="AU14" s="76">
        <v>49062.22</v>
      </c>
      <c r="AV14" s="76">
        <v>49062.22</v>
      </c>
      <c r="AW14" s="76">
        <v>49062.22</v>
      </c>
      <c r="AX14" s="76">
        <v>48941.19</v>
      </c>
      <c r="AY14" s="76">
        <v>48941.19</v>
      </c>
      <c r="AZ14" s="46">
        <v>48941.19</v>
      </c>
      <c r="BA14" s="46">
        <v>48941.19</v>
      </c>
      <c r="BB14" s="46">
        <v>48941.19</v>
      </c>
      <c r="BC14" s="46">
        <v>8417.7000000000007</v>
      </c>
      <c r="BD14" s="46">
        <v>8417.7000000000007</v>
      </c>
      <c r="BE14" s="8">
        <v>2</v>
      </c>
      <c r="BF14" s="8">
        <v>89499.12</v>
      </c>
      <c r="BG14" s="8">
        <v>89499.12</v>
      </c>
      <c r="BH14" s="109">
        <v>89499.12</v>
      </c>
      <c r="BI14" s="109">
        <v>89499.12</v>
      </c>
      <c r="BJ14" s="109">
        <v>89497.12</v>
      </c>
      <c r="BK14" s="109">
        <v>89497.12</v>
      </c>
      <c r="BL14" s="109">
        <v>89497.12</v>
      </c>
      <c r="BM14" s="109">
        <v>115992.12</v>
      </c>
      <c r="BN14" s="109">
        <v>115992.12</v>
      </c>
      <c r="BO14" s="109">
        <v>115992.12</v>
      </c>
      <c r="BP14" s="109">
        <v>115992.12</v>
      </c>
      <c r="BQ14" s="109">
        <v>115992.12</v>
      </c>
      <c r="BR14" s="109">
        <v>26495</v>
      </c>
      <c r="BS14" s="109">
        <v>26495</v>
      </c>
      <c r="BT14" s="109">
        <v>26495</v>
      </c>
      <c r="BU14" s="109">
        <v>26495</v>
      </c>
      <c r="BV14" s="109">
        <v>42209.26</v>
      </c>
      <c r="BW14" s="109">
        <v>42209.19</v>
      </c>
      <c r="BX14" s="109">
        <v>46209.22</v>
      </c>
      <c r="BY14" s="109">
        <v>19714.240000000002</v>
      </c>
      <c r="BZ14" s="109">
        <v>19714.259999999998</v>
      </c>
      <c r="CA14" s="109">
        <v>19714.32</v>
      </c>
      <c r="CB14" s="109">
        <v>19716.439999999999</v>
      </c>
      <c r="CC14" s="109">
        <v>19716.52</v>
      </c>
      <c r="CD14" s="109">
        <v>19716.52</v>
      </c>
      <c r="CE14" s="109">
        <v>19716.740000000002</v>
      </c>
      <c r="CF14" s="109">
        <v>19716.78</v>
      </c>
      <c r="CG14" s="109">
        <v>62605.14</v>
      </c>
      <c r="CH14" s="109">
        <v>46890.38</v>
      </c>
      <c r="CI14" s="109">
        <v>94460.23</v>
      </c>
      <c r="CJ14" s="109">
        <v>90460.23</v>
      </c>
      <c r="CK14" s="109">
        <v>90460.23</v>
      </c>
      <c r="CL14" s="109">
        <v>90460.23</v>
      </c>
      <c r="CM14" s="109">
        <v>90460.23</v>
      </c>
      <c r="CN14" s="136">
        <v>90458.18</v>
      </c>
      <c r="CO14" s="136">
        <v>90458.18</v>
      </c>
      <c r="CP14" s="136">
        <v>90458.18</v>
      </c>
      <c r="CQ14" s="136">
        <v>90458.19</v>
      </c>
      <c r="CR14" s="136">
        <v>90458.18</v>
      </c>
      <c r="CS14" s="136">
        <v>47569.85</v>
      </c>
      <c r="CT14" s="136">
        <v>47635.64</v>
      </c>
      <c r="CU14" s="136">
        <v>65.790000000000006</v>
      </c>
      <c r="CV14" s="136">
        <v>5089.33</v>
      </c>
      <c r="CW14" s="136">
        <v>5089.33</v>
      </c>
      <c r="CX14" s="136">
        <v>5089.33</v>
      </c>
      <c r="CY14" s="136">
        <v>5089.33</v>
      </c>
      <c r="CZ14" s="136">
        <v>18736.546999999999</v>
      </c>
      <c r="DA14" s="136">
        <v>18736.55</v>
      </c>
      <c r="DB14" s="136">
        <v>42441.05</v>
      </c>
      <c r="DC14" s="136">
        <v>42441.05</v>
      </c>
      <c r="DD14" s="136">
        <v>42441.047793999998</v>
      </c>
      <c r="DE14" s="136">
        <v>42411.05</v>
      </c>
      <c r="DF14" s="136">
        <v>56499.32</v>
      </c>
      <c r="DG14" s="146">
        <v>148378.73000000001</v>
      </c>
    </row>
    <row r="15" spans="1:111" x14ac:dyDescent="0.35">
      <c r="A15" s="25" t="s">
        <v>70</v>
      </c>
      <c r="B15" s="29" t="s">
        <v>30</v>
      </c>
      <c r="C15" s="27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54">
        <v>6237.78</v>
      </c>
      <c r="Q15" s="54">
        <v>6352.1</v>
      </c>
      <c r="R15" s="54">
        <v>6401.35</v>
      </c>
      <c r="S15" s="54">
        <v>6410.2</v>
      </c>
      <c r="T15" s="54">
        <v>6461.58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65">
        <v>0</v>
      </c>
      <c r="AR15" s="65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6">
        <v>0</v>
      </c>
      <c r="AY15" s="7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8">
        <v>0</v>
      </c>
      <c r="BF15" s="8">
        <v>0</v>
      </c>
      <c r="BG15" s="8">
        <v>0</v>
      </c>
      <c r="BH15" s="109">
        <v>0</v>
      </c>
      <c r="BI15" s="109">
        <v>0</v>
      </c>
      <c r="BJ15" s="109">
        <v>0</v>
      </c>
      <c r="BK15" s="109">
        <v>0</v>
      </c>
      <c r="BL15" s="109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09">
        <v>0</v>
      </c>
      <c r="BT15" s="109">
        <v>0</v>
      </c>
      <c r="BU15" s="109">
        <v>0</v>
      </c>
      <c r="BV15" s="109">
        <v>0</v>
      </c>
      <c r="BW15" s="109">
        <v>0</v>
      </c>
      <c r="BX15" s="109">
        <v>0</v>
      </c>
      <c r="BY15" s="109">
        <v>0</v>
      </c>
      <c r="BZ15" s="109">
        <v>0</v>
      </c>
      <c r="CA15" s="109">
        <v>0</v>
      </c>
      <c r="CB15" s="109">
        <v>0</v>
      </c>
      <c r="CC15" s="109">
        <v>0</v>
      </c>
      <c r="CD15" s="109">
        <v>0</v>
      </c>
      <c r="CE15" s="109">
        <v>0</v>
      </c>
      <c r="CF15" s="109">
        <v>0</v>
      </c>
      <c r="CG15" s="109">
        <v>0</v>
      </c>
      <c r="CH15" s="109">
        <v>0</v>
      </c>
      <c r="CI15" s="109">
        <v>0</v>
      </c>
      <c r="CJ15" s="109">
        <v>0</v>
      </c>
      <c r="CK15" s="109">
        <v>0</v>
      </c>
      <c r="CL15" s="109">
        <v>0</v>
      </c>
      <c r="CM15" s="109">
        <v>0</v>
      </c>
      <c r="CN15" s="136">
        <v>0</v>
      </c>
      <c r="CO15" s="136">
        <v>0</v>
      </c>
      <c r="CP15" s="136">
        <v>0</v>
      </c>
      <c r="CQ15" s="136">
        <v>0</v>
      </c>
      <c r="CR15" s="136">
        <v>0</v>
      </c>
      <c r="CS15" s="136">
        <v>0</v>
      </c>
      <c r="CT15" s="136">
        <v>0</v>
      </c>
      <c r="CU15" s="136">
        <v>0</v>
      </c>
      <c r="CV15" s="136">
        <v>0</v>
      </c>
      <c r="CW15" s="136">
        <v>0</v>
      </c>
      <c r="CX15" s="136">
        <v>0</v>
      </c>
      <c r="CY15" s="136">
        <v>0</v>
      </c>
      <c r="CZ15" s="136">
        <v>0</v>
      </c>
      <c r="DA15" s="136">
        <v>0</v>
      </c>
      <c r="DB15" s="136">
        <v>0</v>
      </c>
      <c r="DC15" s="136">
        <v>0</v>
      </c>
      <c r="DD15" s="136">
        <v>0</v>
      </c>
      <c r="DE15" s="136">
        <v>0</v>
      </c>
      <c r="DF15" s="136">
        <v>0</v>
      </c>
      <c r="DG15" s="146">
        <v>0</v>
      </c>
    </row>
    <row r="16" spans="1:111" x14ac:dyDescent="0.35">
      <c r="A16" s="25" t="s">
        <v>71</v>
      </c>
      <c r="B16" s="29" t="s">
        <v>31</v>
      </c>
      <c r="C16" s="27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54">
        <v>4000</v>
      </c>
      <c r="Q16" s="54">
        <v>4000</v>
      </c>
      <c r="R16" s="54">
        <v>4000</v>
      </c>
      <c r="S16" s="54">
        <v>4000</v>
      </c>
      <c r="T16" s="54">
        <v>4000</v>
      </c>
      <c r="U16" s="55">
        <v>4000</v>
      </c>
      <c r="V16" s="55">
        <v>4521.6000000000004</v>
      </c>
      <c r="W16" s="55">
        <v>4875.57</v>
      </c>
      <c r="X16" s="55">
        <v>4888.04</v>
      </c>
      <c r="Y16" s="55">
        <v>4888.04</v>
      </c>
      <c r="Z16" s="38">
        <v>5120.05</v>
      </c>
      <c r="AA16" s="55">
        <v>5120.05</v>
      </c>
      <c r="AB16" s="55">
        <v>5720.05</v>
      </c>
      <c r="AC16" s="55">
        <v>6320.05</v>
      </c>
      <c r="AD16" s="55">
        <v>6720.05</v>
      </c>
      <c r="AE16" s="55">
        <v>6920.05</v>
      </c>
      <c r="AF16" s="55">
        <v>7400</v>
      </c>
      <c r="AG16" s="55">
        <v>7600</v>
      </c>
      <c r="AH16" s="55">
        <v>7600</v>
      </c>
      <c r="AI16" s="55">
        <v>7800</v>
      </c>
      <c r="AJ16" s="55">
        <v>7800</v>
      </c>
      <c r="AK16" s="55">
        <v>7800</v>
      </c>
      <c r="AL16" s="55">
        <v>7800</v>
      </c>
      <c r="AM16" s="55">
        <v>7800</v>
      </c>
      <c r="AN16" s="55">
        <v>8000</v>
      </c>
      <c r="AO16" s="8">
        <v>8300</v>
      </c>
      <c r="AP16" s="55">
        <v>8500</v>
      </c>
      <c r="AQ16" s="70">
        <v>8600</v>
      </c>
      <c r="AR16" s="70">
        <v>8800</v>
      </c>
      <c r="AS16" s="76">
        <v>8900</v>
      </c>
      <c r="AT16" s="76">
        <v>9000</v>
      </c>
      <c r="AU16" s="76">
        <v>9100</v>
      </c>
      <c r="AV16" s="76">
        <v>8855.19</v>
      </c>
      <c r="AW16" s="76">
        <v>9555.19</v>
      </c>
      <c r="AX16" s="76">
        <v>9555.19</v>
      </c>
      <c r="AY16" s="76">
        <v>9800</v>
      </c>
      <c r="AZ16" s="46">
        <v>9800</v>
      </c>
      <c r="BA16" s="46">
        <v>9900</v>
      </c>
      <c r="BB16" s="46">
        <v>9900</v>
      </c>
      <c r="BC16" s="46">
        <v>10000</v>
      </c>
      <c r="BD16" s="46">
        <v>10100</v>
      </c>
      <c r="BE16" s="8">
        <v>10100</v>
      </c>
      <c r="BF16" s="8">
        <v>10200</v>
      </c>
      <c r="BG16" s="8">
        <v>10300</v>
      </c>
      <c r="BH16" s="109">
        <v>10300</v>
      </c>
      <c r="BI16" s="109">
        <v>10300</v>
      </c>
      <c r="BJ16" s="109">
        <v>10300</v>
      </c>
      <c r="BK16" s="109">
        <v>10300</v>
      </c>
      <c r="BL16" s="109">
        <v>10300</v>
      </c>
      <c r="BM16" s="109">
        <v>10300</v>
      </c>
      <c r="BN16" s="109">
        <v>10300</v>
      </c>
      <c r="BO16" s="109">
        <v>10300</v>
      </c>
      <c r="BP16" s="109">
        <v>10300</v>
      </c>
      <c r="BQ16" s="109">
        <v>10300</v>
      </c>
      <c r="BR16" s="109">
        <v>10300</v>
      </c>
      <c r="BS16" s="109">
        <v>10300</v>
      </c>
      <c r="BT16" s="109">
        <v>10300</v>
      </c>
      <c r="BU16" s="109">
        <v>10300</v>
      </c>
      <c r="BV16" s="109">
        <v>10300</v>
      </c>
      <c r="BW16" s="109">
        <v>10300</v>
      </c>
      <c r="BX16" s="109">
        <v>10300</v>
      </c>
      <c r="BY16" s="109">
        <v>10300</v>
      </c>
      <c r="BZ16" s="109">
        <v>10300</v>
      </c>
      <c r="CA16" s="109">
        <v>10300</v>
      </c>
      <c r="CB16" s="109">
        <v>10300</v>
      </c>
      <c r="CC16" s="109">
        <v>10300</v>
      </c>
      <c r="CD16" s="109">
        <v>10300</v>
      </c>
      <c r="CE16" s="109">
        <v>10300</v>
      </c>
      <c r="CF16" s="109">
        <v>10300</v>
      </c>
      <c r="CG16" s="109">
        <v>10300</v>
      </c>
      <c r="CH16" s="109">
        <v>10300</v>
      </c>
      <c r="CI16" s="109">
        <v>10300</v>
      </c>
      <c r="CJ16" s="136">
        <v>10109.41</v>
      </c>
      <c r="CK16" s="136">
        <v>10109.41</v>
      </c>
      <c r="CL16" s="136">
        <v>10109.41</v>
      </c>
      <c r="CM16" s="136">
        <v>10109.41</v>
      </c>
      <c r="CN16" s="136">
        <v>10109.41</v>
      </c>
      <c r="CO16" s="136">
        <v>10109.41</v>
      </c>
      <c r="CP16" s="136">
        <v>10300</v>
      </c>
      <c r="CQ16" s="136">
        <v>10300</v>
      </c>
      <c r="CR16" s="136">
        <v>10300</v>
      </c>
      <c r="CS16" s="136">
        <v>10300</v>
      </c>
      <c r="CT16" s="136">
        <v>10300</v>
      </c>
      <c r="CU16" s="136">
        <v>10300</v>
      </c>
      <c r="CV16" s="136">
        <v>10300</v>
      </c>
      <c r="CW16" s="136">
        <v>10300</v>
      </c>
      <c r="CX16" s="136">
        <v>10300</v>
      </c>
      <c r="CY16" s="136">
        <v>10300</v>
      </c>
      <c r="CZ16" s="136">
        <v>10300</v>
      </c>
      <c r="DA16" s="136">
        <v>10300</v>
      </c>
      <c r="DB16" s="136">
        <v>10300</v>
      </c>
      <c r="DC16" s="136">
        <v>10300</v>
      </c>
      <c r="DD16" s="136">
        <v>10300</v>
      </c>
      <c r="DE16" s="136">
        <v>10300</v>
      </c>
      <c r="DF16" s="136">
        <v>10300</v>
      </c>
      <c r="DG16" s="146">
        <v>10300</v>
      </c>
    </row>
    <row r="17" spans="1:111" x14ac:dyDescent="0.35">
      <c r="A17" s="25" t="s">
        <v>111</v>
      </c>
      <c r="B17" s="29" t="s">
        <v>33</v>
      </c>
      <c r="C17" s="27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4"/>
      <c r="Q17" s="54"/>
      <c r="R17" s="54"/>
      <c r="S17" s="54"/>
      <c r="T17" s="54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>
        <v>1925</v>
      </c>
      <c r="AH17" s="55">
        <v>1925</v>
      </c>
      <c r="AI17" s="55">
        <v>1936.42</v>
      </c>
      <c r="AJ17" s="55">
        <v>1934.93</v>
      </c>
      <c r="AK17" s="55">
        <v>1934.93</v>
      </c>
      <c r="AL17" s="55">
        <v>1933.4</v>
      </c>
      <c r="AM17" s="55">
        <v>1850.5</v>
      </c>
      <c r="AN17" s="55">
        <v>1849.72</v>
      </c>
      <c r="AO17" s="8">
        <v>1849.72</v>
      </c>
      <c r="AP17" s="55">
        <v>1848.15</v>
      </c>
      <c r="AQ17" s="70">
        <v>1847.36</v>
      </c>
      <c r="AR17" s="70">
        <v>1846.56</v>
      </c>
      <c r="AS17" s="27">
        <v>6.37</v>
      </c>
      <c r="AT17" s="27">
        <v>4.7699999999999996</v>
      </c>
      <c r="AU17" s="27">
        <v>2.69</v>
      </c>
      <c r="AV17" s="27">
        <v>2.69</v>
      </c>
      <c r="AW17" s="27">
        <v>2.69</v>
      </c>
      <c r="AX17">
        <v>2.68</v>
      </c>
      <c r="AY17" s="75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8">
        <v>0</v>
      </c>
      <c r="BF17" s="8">
        <v>0</v>
      </c>
      <c r="BG17" s="8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50.21</v>
      </c>
      <c r="BR17" s="109">
        <v>50.21</v>
      </c>
      <c r="BS17" s="109">
        <v>50.21</v>
      </c>
      <c r="BT17" s="109">
        <v>50.21</v>
      </c>
      <c r="BU17" s="109">
        <v>50.21</v>
      </c>
      <c r="BV17" s="109">
        <v>50.21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36">
        <v>0</v>
      </c>
      <c r="CK17" s="136">
        <v>0</v>
      </c>
      <c r="CL17" s="136">
        <v>0</v>
      </c>
      <c r="CM17" s="136">
        <v>0</v>
      </c>
      <c r="CN17" s="136">
        <v>0</v>
      </c>
      <c r="CO17" s="136">
        <v>0</v>
      </c>
      <c r="CP17" s="136">
        <v>0</v>
      </c>
      <c r="CQ17" s="136">
        <v>0</v>
      </c>
      <c r="CR17" s="136">
        <v>0</v>
      </c>
      <c r="CS17" s="136">
        <v>0</v>
      </c>
      <c r="CT17" s="136">
        <v>0</v>
      </c>
      <c r="CU17" s="136">
        <v>0</v>
      </c>
      <c r="CV17" s="136">
        <v>0</v>
      </c>
      <c r="CW17" s="136">
        <v>0</v>
      </c>
      <c r="CX17" s="136">
        <v>0</v>
      </c>
      <c r="CY17" s="136">
        <v>0</v>
      </c>
      <c r="CZ17" s="136">
        <v>0</v>
      </c>
      <c r="DA17" s="136">
        <v>0</v>
      </c>
      <c r="DB17" s="136">
        <v>0</v>
      </c>
      <c r="DC17" s="136">
        <v>0</v>
      </c>
      <c r="DD17" s="136">
        <v>0</v>
      </c>
      <c r="DE17" s="136">
        <v>0</v>
      </c>
      <c r="DF17" s="136">
        <v>0</v>
      </c>
      <c r="DG17" s="146">
        <v>0</v>
      </c>
    </row>
    <row r="18" spans="1:111" x14ac:dyDescent="0.35">
      <c r="A18" s="25" t="s">
        <v>72</v>
      </c>
      <c r="B18" s="30" t="s">
        <v>32</v>
      </c>
      <c r="C18" s="27" t="s">
        <v>49</v>
      </c>
      <c r="D18" s="5">
        <f t="shared" ref="D18:AM18" si="68">SUM(D19:D22)</f>
        <v>989113.49000000011</v>
      </c>
      <c r="E18" s="3">
        <f t="shared" si="68"/>
        <v>990322.21</v>
      </c>
      <c r="F18" s="3">
        <f t="shared" si="68"/>
        <v>991721.32</v>
      </c>
      <c r="G18" s="3">
        <f t="shared" si="68"/>
        <v>792549.04999999993</v>
      </c>
      <c r="H18" s="3">
        <f t="shared" si="68"/>
        <v>792549.04999999993</v>
      </c>
      <c r="I18" s="3">
        <f t="shared" si="68"/>
        <v>787944.84</v>
      </c>
      <c r="J18" s="3">
        <f t="shared" si="68"/>
        <v>788627.96000000008</v>
      </c>
      <c r="K18" s="3">
        <f t="shared" si="68"/>
        <v>788847.77000000014</v>
      </c>
      <c r="L18" s="3">
        <f t="shared" si="68"/>
        <v>789271.44000000018</v>
      </c>
      <c r="M18" s="3">
        <f t="shared" si="68"/>
        <v>789929.83000000007</v>
      </c>
      <c r="N18" s="3">
        <f t="shared" si="68"/>
        <v>805938.21000000008</v>
      </c>
      <c r="O18" s="3">
        <f t="shared" si="68"/>
        <v>805763.65</v>
      </c>
      <c r="P18" s="63">
        <f t="shared" si="68"/>
        <v>806266.8600000001</v>
      </c>
      <c r="Q18" s="63">
        <f t="shared" si="68"/>
        <v>740891.34</v>
      </c>
      <c r="R18" s="63">
        <f t="shared" si="68"/>
        <v>741478.66</v>
      </c>
      <c r="S18" s="63">
        <f t="shared" si="68"/>
        <v>741986.47000000009</v>
      </c>
      <c r="T18" s="63">
        <f t="shared" si="68"/>
        <v>755397.69000000006</v>
      </c>
      <c r="U18" s="56">
        <f t="shared" si="68"/>
        <v>755939.87</v>
      </c>
      <c r="V18" s="56">
        <f t="shared" si="68"/>
        <v>756704.27</v>
      </c>
      <c r="W18" s="56">
        <f t="shared" si="68"/>
        <v>761001.11</v>
      </c>
      <c r="X18" s="56">
        <f t="shared" si="68"/>
        <v>760940.65</v>
      </c>
      <c r="Y18" s="56">
        <f t="shared" si="68"/>
        <v>761107.48999999987</v>
      </c>
      <c r="Z18" s="56">
        <f t="shared" si="68"/>
        <v>766969.1399999999</v>
      </c>
      <c r="AA18" s="56">
        <f t="shared" si="68"/>
        <v>767407.07</v>
      </c>
      <c r="AB18" s="56">
        <f t="shared" si="68"/>
        <v>780747.25</v>
      </c>
      <c r="AC18" s="56">
        <f t="shared" si="68"/>
        <v>802353.4800000001</v>
      </c>
      <c r="AD18" s="56">
        <f t="shared" si="68"/>
        <v>801759.88000000012</v>
      </c>
      <c r="AE18" s="56">
        <f t="shared" si="68"/>
        <v>743402.89399999997</v>
      </c>
      <c r="AF18" s="56">
        <f t="shared" si="68"/>
        <v>744573.73499999999</v>
      </c>
      <c r="AG18" s="56">
        <f t="shared" si="68"/>
        <v>674598.7699999999</v>
      </c>
      <c r="AH18" s="56">
        <f t="shared" si="68"/>
        <v>678934.25999999989</v>
      </c>
      <c r="AI18" s="56">
        <f t="shared" si="68"/>
        <v>684273.97</v>
      </c>
      <c r="AJ18" s="56">
        <f t="shared" si="68"/>
        <v>684611.69</v>
      </c>
      <c r="AK18" s="56">
        <f t="shared" si="68"/>
        <v>690011.32</v>
      </c>
      <c r="AL18" s="56">
        <f t="shared" si="68"/>
        <v>683623.72000000009</v>
      </c>
      <c r="AM18" s="56">
        <f t="shared" si="68"/>
        <v>688652.66</v>
      </c>
      <c r="AN18" s="56">
        <v>695725.39</v>
      </c>
      <c r="AO18" s="66">
        <v>701733.66</v>
      </c>
      <c r="AP18" s="67">
        <f>SUM(AP19:AP22)</f>
        <v>705739.45000000007</v>
      </c>
      <c r="AQ18" s="67">
        <f>SUM(AQ19:AQ22)</f>
        <v>683426.45000000007</v>
      </c>
      <c r="AR18" s="67">
        <v>689860.37</v>
      </c>
      <c r="AS18" s="78">
        <f t="shared" ref="AS18:BX18" si="69">SUM(AS19:AS22)</f>
        <v>681961.76</v>
      </c>
      <c r="AT18" s="78">
        <f t="shared" si="69"/>
        <v>686253.77364051004</v>
      </c>
      <c r="AU18" s="78">
        <f t="shared" si="69"/>
        <v>693883.75000000012</v>
      </c>
      <c r="AV18" s="78">
        <f t="shared" si="69"/>
        <v>694200.84000000008</v>
      </c>
      <c r="AW18" s="78">
        <f t="shared" si="69"/>
        <v>697420.50000000012</v>
      </c>
      <c r="AX18" s="78">
        <f t="shared" si="69"/>
        <v>697211.31</v>
      </c>
      <c r="AY18" s="78">
        <f t="shared" si="69"/>
        <v>697236.47999999998</v>
      </c>
      <c r="AZ18" s="67">
        <f t="shared" si="69"/>
        <v>702572.12</v>
      </c>
      <c r="BA18" s="67">
        <f t="shared" si="69"/>
        <v>710079.15</v>
      </c>
      <c r="BB18" s="67">
        <f t="shared" si="69"/>
        <v>710395.73</v>
      </c>
      <c r="BC18" s="67">
        <f t="shared" si="69"/>
        <v>723702.08</v>
      </c>
      <c r="BD18" s="67">
        <f t="shared" si="69"/>
        <v>724023.95</v>
      </c>
      <c r="BE18" s="66">
        <f t="shared" si="69"/>
        <v>724541.94000000006</v>
      </c>
      <c r="BF18" s="66">
        <f t="shared" si="69"/>
        <v>643142.22</v>
      </c>
      <c r="BG18" s="66">
        <f t="shared" si="69"/>
        <v>643507.61</v>
      </c>
      <c r="BH18" s="112">
        <f t="shared" si="69"/>
        <v>644102.98</v>
      </c>
      <c r="BI18" s="112">
        <f t="shared" si="69"/>
        <v>644703.78</v>
      </c>
      <c r="BJ18" s="112">
        <f t="shared" si="69"/>
        <v>644709.82000000007</v>
      </c>
      <c r="BK18" s="112">
        <f t="shared" si="69"/>
        <v>662007.39</v>
      </c>
      <c r="BL18" s="112">
        <f t="shared" si="69"/>
        <v>664728.33000000007</v>
      </c>
      <c r="BM18" s="112">
        <f t="shared" si="69"/>
        <v>643281.56000000006</v>
      </c>
      <c r="BN18" s="112">
        <f t="shared" si="69"/>
        <v>643401.29</v>
      </c>
      <c r="BO18" s="112">
        <f t="shared" si="69"/>
        <v>650287.34000000008</v>
      </c>
      <c r="BP18" s="112">
        <f t="shared" si="69"/>
        <v>650905.29</v>
      </c>
      <c r="BQ18" s="112">
        <f t="shared" si="69"/>
        <v>659101.37</v>
      </c>
      <c r="BR18" s="112">
        <f t="shared" si="69"/>
        <v>738793.88</v>
      </c>
      <c r="BS18" s="112">
        <f t="shared" si="69"/>
        <v>739138.02</v>
      </c>
      <c r="BT18" s="112">
        <f t="shared" si="69"/>
        <v>739637.95000000007</v>
      </c>
      <c r="BU18" s="112">
        <f t="shared" si="69"/>
        <v>740264.62</v>
      </c>
      <c r="BV18" s="112">
        <f t="shared" si="69"/>
        <v>734478.71000000008</v>
      </c>
      <c r="BW18" s="112">
        <f t="shared" si="69"/>
        <v>742715.83000000007</v>
      </c>
      <c r="BX18" s="112">
        <f t="shared" si="69"/>
        <v>742157.96000000008</v>
      </c>
      <c r="BY18" s="112">
        <f t="shared" ref="BY18:CX18" si="70">SUM(BY19:BY22)</f>
        <v>752608.81</v>
      </c>
      <c r="BZ18" s="112">
        <f t="shared" si="70"/>
        <v>752963.44000000006</v>
      </c>
      <c r="CA18" s="112">
        <f t="shared" si="70"/>
        <v>763756.93</v>
      </c>
      <c r="CB18" s="112">
        <f t="shared" si="70"/>
        <v>769576.12</v>
      </c>
      <c r="CC18" s="112">
        <f t="shared" si="70"/>
        <v>770442.41</v>
      </c>
      <c r="CD18" s="112">
        <f t="shared" si="70"/>
        <v>776519.6235407301</v>
      </c>
      <c r="CE18" s="112">
        <f t="shared" si="70"/>
        <v>787703.81</v>
      </c>
      <c r="CF18" s="112">
        <f t="shared" si="70"/>
        <v>794057.25</v>
      </c>
      <c r="CG18" s="112">
        <f t="shared" si="70"/>
        <v>751635.79</v>
      </c>
      <c r="CH18" s="112">
        <f t="shared" si="70"/>
        <v>752247.09</v>
      </c>
      <c r="CI18" s="112">
        <f t="shared" si="70"/>
        <v>705329.5</v>
      </c>
      <c r="CJ18" s="135">
        <f t="shared" si="70"/>
        <v>706249.26</v>
      </c>
      <c r="CK18" s="135">
        <f t="shared" si="70"/>
        <v>706249.26</v>
      </c>
      <c r="CL18" s="135">
        <f t="shared" si="70"/>
        <v>712654.15</v>
      </c>
      <c r="CM18" s="135">
        <f t="shared" si="70"/>
        <v>724164.74</v>
      </c>
      <c r="CN18" s="135">
        <f t="shared" si="70"/>
        <v>735350.64</v>
      </c>
      <c r="CO18" s="135">
        <f t="shared" si="70"/>
        <v>736067.94000000006</v>
      </c>
      <c r="CP18" s="135">
        <f t="shared" si="70"/>
        <v>743001.76</v>
      </c>
      <c r="CQ18" s="135">
        <f t="shared" si="70"/>
        <v>744109.55</v>
      </c>
      <c r="CR18" s="135">
        <f t="shared" si="70"/>
        <v>745024.16</v>
      </c>
      <c r="CS18" s="135">
        <f t="shared" si="70"/>
        <v>762408.3</v>
      </c>
      <c r="CT18" s="135">
        <f t="shared" si="70"/>
        <v>762397.53</v>
      </c>
      <c r="CU18" s="135">
        <f t="shared" si="70"/>
        <v>788947.47</v>
      </c>
      <c r="CV18" s="135">
        <f t="shared" si="70"/>
        <v>793369.69000000006</v>
      </c>
      <c r="CW18" s="135">
        <f t="shared" si="70"/>
        <v>801537.94000000006</v>
      </c>
      <c r="CX18" s="135">
        <f t="shared" si="70"/>
        <v>801785.42</v>
      </c>
      <c r="CY18" s="135">
        <f t="shared" ref="CY18:CZ18" si="71">SUM(CY19:CY22)</f>
        <v>807549.19000000006</v>
      </c>
      <c r="CZ18" s="135">
        <f t="shared" si="71"/>
        <v>797793.27600000007</v>
      </c>
      <c r="DA18" s="135">
        <f t="shared" ref="DA18:DB18" si="72">SUM(DA19:DA22)</f>
        <v>797793.27580826997</v>
      </c>
      <c r="DB18" s="135">
        <f t="shared" si="72"/>
        <v>775775.18</v>
      </c>
      <c r="DC18" s="135">
        <f t="shared" ref="DC18:DD18" si="73">SUM(DC19:DC22)</f>
        <v>776416.35</v>
      </c>
      <c r="DD18" s="135">
        <f t="shared" si="73"/>
        <v>777411.10201464861</v>
      </c>
      <c r="DE18" s="135">
        <f t="shared" ref="DE18:DF18" si="74">SUM(DE19:DE22)</f>
        <v>778385.67</v>
      </c>
      <c r="DF18" s="135">
        <f t="shared" si="74"/>
        <v>764660.49</v>
      </c>
      <c r="DG18" s="145">
        <f t="shared" ref="DG18" si="75">SUM(DG19:DG22)</f>
        <v>672817.4</v>
      </c>
    </row>
    <row r="19" spans="1:111" x14ac:dyDescent="0.35">
      <c r="A19" s="25" t="s">
        <v>73</v>
      </c>
      <c r="B19" s="29" t="s">
        <v>29</v>
      </c>
      <c r="C19" s="27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54">
        <f>738717.09-P14</f>
        <v>738713.72</v>
      </c>
      <c r="Q19" s="54">
        <f>744752.46-Q14</f>
        <v>672150.19</v>
      </c>
      <c r="R19" s="54">
        <f>744828.59-R14</f>
        <v>672226.32</v>
      </c>
      <c r="S19" s="54">
        <f>745245.81-S14</f>
        <v>672643.54</v>
      </c>
      <c r="T19" s="54">
        <f>753212.02-T14</f>
        <v>685520.75</v>
      </c>
      <c r="U19" s="55">
        <f>750328.04-U14</f>
        <v>685836.77</v>
      </c>
      <c r="V19" s="55">
        <f>750653.08-V14</f>
        <v>686161.80999999994</v>
      </c>
      <c r="W19" s="55">
        <f>758985.35-W14</f>
        <v>690494.08</v>
      </c>
      <c r="X19" s="55">
        <f>759241.43-X14</f>
        <v>690750.16</v>
      </c>
      <c r="Y19" s="55">
        <f>759503.69-Y14</f>
        <v>691012.41999999993</v>
      </c>
      <c r="Z19" s="55">
        <f>772935.2-Z14</f>
        <v>696956.42999999993</v>
      </c>
      <c r="AA19" s="55">
        <f>773218.48-AA14</f>
        <v>697239.71</v>
      </c>
      <c r="AB19" s="55">
        <f>786173.08-AB14</f>
        <v>710194.30999999994</v>
      </c>
      <c r="AC19" s="55">
        <f>742900.92-AC14</f>
        <v>731410.05</v>
      </c>
      <c r="AD19" s="55">
        <f>743108.92-AD14</f>
        <v>731618.05</v>
      </c>
      <c r="AE19" s="55">
        <f>743403.24-AE14</f>
        <v>673474.08</v>
      </c>
      <c r="AF19" s="55">
        <f>743822.9-AF14</f>
        <v>673893.74</v>
      </c>
      <c r="AG19" s="55">
        <f>744156.08-AG14</f>
        <v>674226.91999999993</v>
      </c>
      <c r="AH19" s="55">
        <f>748491.57-AH14</f>
        <v>678562.40999999992</v>
      </c>
      <c r="AI19" s="55">
        <f>749843.46-AI14</f>
        <v>683914.29999999993</v>
      </c>
      <c r="AJ19" s="55">
        <f>750181.19-AJ14</f>
        <v>684252.02999999991</v>
      </c>
      <c r="AK19" s="55">
        <f>755580.82-AK14</f>
        <v>689651.65999999992</v>
      </c>
      <c r="AL19" s="55">
        <f>741825.39-AL14</f>
        <v>683264.06</v>
      </c>
      <c r="AM19" s="55">
        <f>746912.59-AM14</f>
        <v>688351.26</v>
      </c>
      <c r="AN19" s="55">
        <v>695423.99</v>
      </c>
      <c r="AO19" s="8">
        <v>701432.26</v>
      </c>
      <c r="AP19" s="45">
        <v>705438.05</v>
      </c>
      <c r="AQ19" s="70">
        <v>683125.05</v>
      </c>
      <c r="AR19" s="70">
        <v>689558.97</v>
      </c>
      <c r="AS19" s="76">
        <v>681710.57</v>
      </c>
      <c r="AT19" s="8">
        <v>686002.58364050998</v>
      </c>
      <c r="AU19" s="8">
        <v>693632.56</v>
      </c>
      <c r="AV19" s="76">
        <v>693949.65</v>
      </c>
      <c r="AW19" s="76">
        <v>697169.31</v>
      </c>
      <c r="AX19" s="76">
        <v>696960.12</v>
      </c>
      <c r="AY19" s="76">
        <v>697035.5</v>
      </c>
      <c r="AZ19" s="46">
        <v>702371.14</v>
      </c>
      <c r="BA19" s="46">
        <v>709878.17</v>
      </c>
      <c r="BB19" s="46">
        <v>710194.75</v>
      </c>
      <c r="BC19" s="46">
        <v>723501.1</v>
      </c>
      <c r="BD19" s="46">
        <v>723822.97</v>
      </c>
      <c r="BE19" s="8">
        <v>724391.16</v>
      </c>
      <c r="BF19" s="8">
        <v>642991.43999999994</v>
      </c>
      <c r="BG19" s="8">
        <v>643356.82999999996</v>
      </c>
      <c r="BH19" s="109">
        <v>643952.19999999995</v>
      </c>
      <c r="BI19" s="109">
        <v>644553</v>
      </c>
      <c r="BJ19" s="109">
        <v>644559.04</v>
      </c>
      <c r="BK19" s="109">
        <v>661856.61</v>
      </c>
      <c r="BL19" s="109">
        <v>664627.76</v>
      </c>
      <c r="BM19" s="109">
        <v>643180.99</v>
      </c>
      <c r="BN19" s="109">
        <v>643300.72</v>
      </c>
      <c r="BO19" s="109">
        <v>650186.77</v>
      </c>
      <c r="BP19" s="109">
        <v>650804.72</v>
      </c>
      <c r="BQ19" s="109">
        <v>659101.22</v>
      </c>
      <c r="BR19" s="109">
        <v>738793.73</v>
      </c>
      <c r="BS19" s="109">
        <v>739137.87</v>
      </c>
      <c r="BT19" s="109">
        <v>739637.8</v>
      </c>
      <c r="BU19" s="109">
        <v>740264.47</v>
      </c>
      <c r="BV19" s="109">
        <v>734478.56</v>
      </c>
      <c r="BW19" s="109">
        <v>742715.68</v>
      </c>
      <c r="BX19" s="109">
        <v>742157.81</v>
      </c>
      <c r="BY19" s="109">
        <v>752608.66</v>
      </c>
      <c r="BZ19" s="109">
        <v>752963.29</v>
      </c>
      <c r="CA19" s="109">
        <v>763756.78</v>
      </c>
      <c r="CB19" s="109">
        <v>769575.97</v>
      </c>
      <c r="CC19" s="109">
        <v>770442.26</v>
      </c>
      <c r="CD19" s="109">
        <v>776519.47354073008</v>
      </c>
      <c r="CE19" s="109">
        <v>787703.66</v>
      </c>
      <c r="CF19" s="109">
        <v>794057.1</v>
      </c>
      <c r="CG19" s="109">
        <v>751635.64</v>
      </c>
      <c r="CH19" s="109">
        <v>752246.94</v>
      </c>
      <c r="CI19" s="109">
        <v>705329.35</v>
      </c>
      <c r="CJ19" s="136">
        <v>706249.11</v>
      </c>
      <c r="CK19" s="136">
        <v>706249.11</v>
      </c>
      <c r="CL19" s="136">
        <v>712654</v>
      </c>
      <c r="CM19" s="136">
        <v>724164.59</v>
      </c>
      <c r="CN19" s="136">
        <v>735350.49</v>
      </c>
      <c r="CO19" s="136">
        <v>736067.79</v>
      </c>
      <c r="CP19" s="136">
        <v>743001.61</v>
      </c>
      <c r="CQ19" s="136">
        <v>744109.4</v>
      </c>
      <c r="CR19" s="136">
        <v>745024.01</v>
      </c>
      <c r="CS19" s="136">
        <v>762408.15</v>
      </c>
      <c r="CT19" s="136">
        <v>762397.38</v>
      </c>
      <c r="CU19" s="136">
        <v>788947.32</v>
      </c>
      <c r="CV19" s="136">
        <v>793369.54</v>
      </c>
      <c r="CW19" s="136">
        <v>801537.79</v>
      </c>
      <c r="CX19" s="136">
        <v>801785.27</v>
      </c>
      <c r="CY19" s="136">
        <v>807549.04</v>
      </c>
      <c r="CZ19" s="136">
        <v>797793.12600000005</v>
      </c>
      <c r="DA19" s="136">
        <v>797793.12580826995</v>
      </c>
      <c r="DB19" s="136">
        <v>775775.03</v>
      </c>
      <c r="DC19" s="136">
        <v>776416.2</v>
      </c>
      <c r="DD19" s="136">
        <v>777410.95201464859</v>
      </c>
      <c r="DE19" s="136">
        <v>778385.52</v>
      </c>
      <c r="DF19" s="136">
        <v>764660.34</v>
      </c>
      <c r="DG19" s="146">
        <v>672817.25</v>
      </c>
    </row>
    <row r="20" spans="1:111" x14ac:dyDescent="0.35">
      <c r="A20" s="25" t="s">
        <v>74</v>
      </c>
      <c r="B20" s="29" t="s">
        <v>30</v>
      </c>
      <c r="C20" s="27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54">
        <f>71062.35-P15</f>
        <v>64824.570000000007</v>
      </c>
      <c r="Q20" s="54">
        <f>72364.68-Q15</f>
        <v>66012.579999999987</v>
      </c>
      <c r="R20" s="54">
        <f>72925.78-R15</f>
        <v>66524.429999999993</v>
      </c>
      <c r="S20" s="54">
        <f>73026.58-S15</f>
        <v>66616.38</v>
      </c>
      <c r="T20" s="54">
        <f>73611.97-T15</f>
        <v>67150.39</v>
      </c>
      <c r="U20" s="55">
        <f>67517.63-U15</f>
        <v>67517.63</v>
      </c>
      <c r="V20" s="55">
        <f>67957.68-V15</f>
        <v>67957.679999999993</v>
      </c>
      <c r="W20" s="55">
        <f>67922.25-W15</f>
        <v>67922.25</v>
      </c>
      <c r="X20" s="55">
        <v>67607.11</v>
      </c>
      <c r="Y20" s="55">
        <v>67511.679999999993</v>
      </c>
      <c r="Z20" s="55">
        <v>67430.73</v>
      </c>
      <c r="AA20" s="55">
        <v>67726.490000000005</v>
      </c>
      <c r="AB20" s="55">
        <v>68112.800000000003</v>
      </c>
      <c r="AC20" s="55">
        <v>68504</v>
      </c>
      <c r="AD20" s="55">
        <f>67703.12-AD15</f>
        <v>67703.12</v>
      </c>
      <c r="AE20" s="55">
        <f>67490.839-AE15</f>
        <v>67490.839000000007</v>
      </c>
      <c r="AF20" s="55">
        <f>68242.02-AF15</f>
        <v>68242.02</v>
      </c>
      <c r="AG20" s="55">
        <f t="shared" ref="AG20:AL20" si="76">0-AG15</f>
        <v>0</v>
      </c>
      <c r="AH20" s="55">
        <f t="shared" si="76"/>
        <v>0</v>
      </c>
      <c r="AI20" s="55">
        <f t="shared" si="76"/>
        <v>0</v>
      </c>
      <c r="AJ20" s="55">
        <f t="shared" si="76"/>
        <v>0</v>
      </c>
      <c r="AK20" s="55">
        <f t="shared" si="76"/>
        <v>0</v>
      </c>
      <c r="AL20" s="55">
        <f t="shared" si="76"/>
        <v>0</v>
      </c>
      <c r="AM20" s="55">
        <f>0-AM15</f>
        <v>0</v>
      </c>
      <c r="AN20" s="55">
        <v>0</v>
      </c>
      <c r="AO20" s="55">
        <v>0</v>
      </c>
      <c r="AP20" s="55">
        <v>0</v>
      </c>
      <c r="AQ20" s="65">
        <v>0</v>
      </c>
      <c r="AR20" s="65">
        <v>0</v>
      </c>
      <c r="AS20" s="77">
        <v>0</v>
      </c>
      <c r="AT20" s="76">
        <v>0</v>
      </c>
      <c r="AU20" s="76">
        <v>0</v>
      </c>
      <c r="AV20" s="75">
        <v>0</v>
      </c>
      <c r="AW20" s="75">
        <v>0</v>
      </c>
      <c r="AX20" s="76">
        <v>0</v>
      </c>
      <c r="AY20" s="7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8">
        <v>0</v>
      </c>
      <c r="BF20" s="8">
        <v>0</v>
      </c>
      <c r="BG20" s="8">
        <v>0</v>
      </c>
      <c r="BH20" s="109">
        <v>0</v>
      </c>
      <c r="BI20" s="109">
        <v>0</v>
      </c>
      <c r="BJ20" s="109">
        <v>0</v>
      </c>
      <c r="BK20" s="109">
        <v>0</v>
      </c>
      <c r="BL20" s="109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09">
        <v>0</v>
      </c>
      <c r="BT20" s="109">
        <v>0</v>
      </c>
      <c r="BU20" s="109">
        <v>0</v>
      </c>
      <c r="BV20" s="109">
        <v>0</v>
      </c>
      <c r="BW20" s="109">
        <v>0</v>
      </c>
      <c r="BX20" s="109">
        <v>0</v>
      </c>
      <c r="BY20" s="109">
        <v>0</v>
      </c>
      <c r="BZ20" s="109">
        <v>0</v>
      </c>
      <c r="CA20" s="109">
        <v>0</v>
      </c>
      <c r="CB20" s="109">
        <v>0</v>
      </c>
      <c r="CC20" s="109">
        <v>0</v>
      </c>
      <c r="CD20" s="109">
        <v>0</v>
      </c>
      <c r="CE20" s="109">
        <v>0</v>
      </c>
      <c r="CF20" s="109">
        <v>0</v>
      </c>
      <c r="CG20" s="109">
        <v>0</v>
      </c>
      <c r="CH20" s="109">
        <v>0</v>
      </c>
      <c r="CI20" s="109">
        <v>0</v>
      </c>
      <c r="CJ20" s="136">
        <v>0</v>
      </c>
      <c r="CK20" s="136">
        <v>0</v>
      </c>
      <c r="CL20" s="136">
        <v>0</v>
      </c>
      <c r="CM20" s="136">
        <v>0</v>
      </c>
      <c r="CN20" s="136">
        <v>0</v>
      </c>
      <c r="CO20" s="136">
        <v>0</v>
      </c>
      <c r="CP20" s="136">
        <v>0</v>
      </c>
      <c r="CQ20" s="136">
        <v>0</v>
      </c>
      <c r="CR20" s="136">
        <v>0</v>
      </c>
      <c r="CS20" s="136">
        <v>0</v>
      </c>
      <c r="CT20" s="136">
        <v>0</v>
      </c>
      <c r="CU20" s="136">
        <v>0</v>
      </c>
      <c r="CV20" s="136">
        <v>0</v>
      </c>
      <c r="CW20" s="136">
        <v>0</v>
      </c>
      <c r="CX20" s="136">
        <v>0</v>
      </c>
      <c r="CY20" s="136">
        <v>0</v>
      </c>
      <c r="CZ20" s="136">
        <v>0</v>
      </c>
      <c r="DA20" s="136">
        <v>0</v>
      </c>
      <c r="DB20" s="136">
        <v>0</v>
      </c>
      <c r="DC20" s="136">
        <v>0</v>
      </c>
      <c r="DD20" s="136">
        <v>0</v>
      </c>
      <c r="DE20" s="136">
        <v>0</v>
      </c>
      <c r="DF20" s="136">
        <v>0</v>
      </c>
      <c r="DG20" s="146">
        <v>0</v>
      </c>
    </row>
    <row r="21" spans="1:111" x14ac:dyDescent="0.35">
      <c r="A21" s="25" t="s">
        <v>75</v>
      </c>
      <c r="B21" s="29" t="s">
        <v>33</v>
      </c>
      <c r="C21" s="27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54">
        <f>2728.42</f>
        <v>2728.42</v>
      </c>
      <c r="Q21" s="54">
        <f>2728.42</f>
        <v>2728.42</v>
      </c>
      <c r="R21" s="54">
        <f>2727.76</f>
        <v>2727.76</v>
      </c>
      <c r="S21" s="54">
        <v>2726.4</v>
      </c>
      <c r="T21" s="54">
        <v>2726.4</v>
      </c>
      <c r="U21" s="55">
        <v>2585.3200000000002</v>
      </c>
      <c r="V21" s="55">
        <v>2584.63</v>
      </c>
      <c r="W21" s="55">
        <v>2584.63</v>
      </c>
      <c r="X21" s="55">
        <v>2583.23</v>
      </c>
      <c r="Y21" s="55">
        <v>2583.2399999999998</v>
      </c>
      <c r="Z21" s="55">
        <v>2581.83</v>
      </c>
      <c r="AA21" s="55">
        <v>2440.7199999999998</v>
      </c>
      <c r="AB21" s="55">
        <v>2439.9899999999998</v>
      </c>
      <c r="AC21" s="55">
        <v>2439.2800000000002</v>
      </c>
      <c r="AD21" s="55">
        <f>2438.56</f>
        <v>2438.56</v>
      </c>
      <c r="AE21" s="55">
        <f>2437.825</f>
        <v>2437.8249999999998</v>
      </c>
      <c r="AF21" s="55">
        <f>2437.825</f>
        <v>2437.8249999999998</v>
      </c>
      <c r="AG21" s="55">
        <f>2296.7-AG17</f>
        <v>371.69999999999982</v>
      </c>
      <c r="AH21" s="55">
        <f>2296.7-AH17</f>
        <v>371.69999999999982</v>
      </c>
      <c r="AI21" s="55">
        <f>2295.94-AI17</f>
        <v>359.52</v>
      </c>
      <c r="AJ21" s="55">
        <f>2294.44-AJ17</f>
        <v>359.51</v>
      </c>
      <c r="AK21" s="55">
        <f>2294.44-AK17</f>
        <v>359.51</v>
      </c>
      <c r="AL21" s="55">
        <f>2292.91-AL17</f>
        <v>359.50999999999976</v>
      </c>
      <c r="AM21" s="55">
        <f>2151.75-AM17</f>
        <v>301.25</v>
      </c>
      <c r="AN21" s="55">
        <v>301.25</v>
      </c>
      <c r="AO21" s="8">
        <v>301.24999999999977</v>
      </c>
      <c r="AP21" s="45">
        <v>301.25</v>
      </c>
      <c r="AQ21" s="70">
        <v>301.25</v>
      </c>
      <c r="AR21" s="70">
        <v>301.25</v>
      </c>
      <c r="AS21" s="27">
        <v>251.04</v>
      </c>
      <c r="AT21" s="76">
        <v>251.04</v>
      </c>
      <c r="AU21" s="76">
        <v>251.04</v>
      </c>
      <c r="AV21">
        <v>251.04</v>
      </c>
      <c r="AW21">
        <v>251.04</v>
      </c>
      <c r="AX21">
        <v>251.04</v>
      </c>
      <c r="AY21">
        <v>200.83</v>
      </c>
      <c r="AZ21" s="46">
        <v>200.83</v>
      </c>
      <c r="BA21" s="46">
        <v>200.83</v>
      </c>
      <c r="BB21" s="46">
        <v>200.83</v>
      </c>
      <c r="BC21" s="46">
        <v>200.83</v>
      </c>
      <c r="BD21" s="46">
        <v>200.83</v>
      </c>
      <c r="BE21" s="8">
        <v>150.63</v>
      </c>
      <c r="BF21" s="8">
        <v>150.63</v>
      </c>
      <c r="BG21" s="8">
        <v>150.63</v>
      </c>
      <c r="BH21" s="109">
        <v>150.63</v>
      </c>
      <c r="BI21" s="109">
        <v>150.63</v>
      </c>
      <c r="BJ21" s="109">
        <v>150.63</v>
      </c>
      <c r="BK21" s="109">
        <v>150.63</v>
      </c>
      <c r="BL21" s="109">
        <v>100.42</v>
      </c>
      <c r="BM21" s="109">
        <v>100.42</v>
      </c>
      <c r="BN21" s="109">
        <v>100.42</v>
      </c>
      <c r="BO21" s="109">
        <v>100.42</v>
      </c>
      <c r="BP21" s="109">
        <v>100.42</v>
      </c>
      <c r="BQ21" s="109">
        <v>0</v>
      </c>
      <c r="BR21" s="109">
        <v>0</v>
      </c>
      <c r="BS21" s="109">
        <v>0</v>
      </c>
      <c r="BT21" s="109">
        <v>0</v>
      </c>
      <c r="BU21" s="109">
        <v>0</v>
      </c>
      <c r="BV21" s="109">
        <v>0</v>
      </c>
      <c r="BW21" s="109">
        <v>0</v>
      </c>
      <c r="BX21" s="109">
        <v>0</v>
      </c>
      <c r="BY21" s="109">
        <v>0</v>
      </c>
      <c r="BZ21" s="109">
        <v>0</v>
      </c>
      <c r="CA21" s="109">
        <v>0</v>
      </c>
      <c r="CB21" s="109">
        <v>0</v>
      </c>
      <c r="CC21" s="109">
        <v>0</v>
      </c>
      <c r="CD21" s="109">
        <v>0</v>
      </c>
      <c r="CE21" s="109">
        <v>0</v>
      </c>
      <c r="CF21" s="109">
        <v>0</v>
      </c>
      <c r="CG21" s="109">
        <v>0</v>
      </c>
      <c r="CH21" s="109">
        <v>0</v>
      </c>
      <c r="CI21" s="109">
        <v>0</v>
      </c>
      <c r="CJ21" s="136">
        <v>0</v>
      </c>
      <c r="CK21" s="136">
        <v>0</v>
      </c>
      <c r="CL21" s="136">
        <v>0</v>
      </c>
      <c r="CM21" s="136">
        <v>0</v>
      </c>
      <c r="CN21" s="136">
        <v>0</v>
      </c>
      <c r="CO21" s="136">
        <v>0</v>
      </c>
      <c r="CP21" s="136">
        <v>0</v>
      </c>
      <c r="CQ21" s="136">
        <v>0</v>
      </c>
      <c r="CR21" s="136">
        <v>0</v>
      </c>
      <c r="CS21" s="136">
        <v>0</v>
      </c>
      <c r="CT21" s="136">
        <v>0</v>
      </c>
      <c r="CU21" s="136">
        <v>0</v>
      </c>
      <c r="CV21" s="136">
        <v>0</v>
      </c>
      <c r="CW21" s="136">
        <v>0</v>
      </c>
      <c r="CX21" s="136">
        <v>0</v>
      </c>
      <c r="CY21" s="136">
        <v>0</v>
      </c>
      <c r="CZ21" s="136">
        <v>0</v>
      </c>
      <c r="DA21" s="136">
        <v>0</v>
      </c>
      <c r="DB21" s="136">
        <v>0</v>
      </c>
      <c r="DC21" s="136">
        <v>0</v>
      </c>
      <c r="DD21" s="136">
        <v>0</v>
      </c>
      <c r="DE21" s="136">
        <v>0</v>
      </c>
      <c r="DF21" s="136">
        <v>0</v>
      </c>
      <c r="DG21" s="146">
        <v>0</v>
      </c>
    </row>
    <row r="22" spans="1:111" x14ac:dyDescent="0.35">
      <c r="A22" s="25" t="s">
        <v>76</v>
      </c>
      <c r="B22" s="29" t="s">
        <v>34</v>
      </c>
      <c r="C22" s="27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54">
        <v>0.15</v>
      </c>
      <c r="Q22" s="54">
        <v>0.15</v>
      </c>
      <c r="R22" s="54">
        <v>0.15</v>
      </c>
      <c r="S22" s="54">
        <v>0.15</v>
      </c>
      <c r="T22" s="54">
        <v>0.15</v>
      </c>
      <c r="U22" s="55">
        <v>0.15</v>
      </c>
      <c r="V22" s="55">
        <v>0.15</v>
      </c>
      <c r="W22" s="55">
        <v>0.15</v>
      </c>
      <c r="X22" s="55">
        <v>0.15</v>
      </c>
      <c r="Y22" s="55">
        <v>0.15</v>
      </c>
      <c r="Z22" s="55">
        <v>0.15</v>
      </c>
      <c r="AA22" s="57">
        <v>0.15</v>
      </c>
      <c r="AB22" s="55">
        <v>0.15</v>
      </c>
      <c r="AC22" s="55">
        <v>0.15</v>
      </c>
      <c r="AD22" s="55">
        <v>0.15</v>
      </c>
      <c r="AE22" s="55">
        <v>0.15</v>
      </c>
      <c r="AF22" s="55">
        <v>0.15</v>
      </c>
      <c r="AG22" s="55">
        <v>0.15</v>
      </c>
      <c r="AH22" s="55">
        <v>0.15</v>
      </c>
      <c r="AI22" s="55">
        <v>0.15</v>
      </c>
      <c r="AJ22" s="55">
        <v>0.15</v>
      </c>
      <c r="AK22" s="55">
        <v>0.15</v>
      </c>
      <c r="AL22" s="55">
        <v>0.15</v>
      </c>
      <c r="AM22" s="55">
        <v>0.15</v>
      </c>
      <c r="AN22" s="55">
        <v>0.15</v>
      </c>
      <c r="AO22" s="8">
        <v>0.15</v>
      </c>
      <c r="AP22" s="45">
        <v>0.15</v>
      </c>
      <c r="AQ22" s="70">
        <v>0.15</v>
      </c>
      <c r="AR22" s="70">
        <v>0.15</v>
      </c>
      <c r="AS22" s="27">
        <v>0.15</v>
      </c>
      <c r="AT22" s="76">
        <v>0.15</v>
      </c>
      <c r="AU22" s="76">
        <v>0.15</v>
      </c>
      <c r="AV22">
        <v>0.15</v>
      </c>
      <c r="AW22">
        <v>0.15</v>
      </c>
      <c r="AX22">
        <v>0.15</v>
      </c>
      <c r="AY22">
        <v>0.15</v>
      </c>
      <c r="AZ22" s="46">
        <v>0.15</v>
      </c>
      <c r="BA22" s="46">
        <v>0.15</v>
      </c>
      <c r="BB22" s="46">
        <v>0.15</v>
      </c>
      <c r="BC22" s="46">
        <v>0.15</v>
      </c>
      <c r="BD22" s="46">
        <v>0.15</v>
      </c>
      <c r="BE22" s="8">
        <v>0.15</v>
      </c>
      <c r="BF22" s="8">
        <v>0.15</v>
      </c>
      <c r="BG22" s="8">
        <v>0.15</v>
      </c>
      <c r="BH22" s="109">
        <v>0.15</v>
      </c>
      <c r="BI22" s="109">
        <v>0.15</v>
      </c>
      <c r="BJ22" s="109">
        <v>0.15</v>
      </c>
      <c r="BK22" s="109">
        <v>0.15</v>
      </c>
      <c r="BL22" s="109">
        <v>0.15</v>
      </c>
      <c r="BM22" s="109">
        <v>0.15</v>
      </c>
      <c r="BN22" s="109">
        <v>0.15</v>
      </c>
      <c r="BO22" s="109">
        <v>0.15</v>
      </c>
      <c r="BP22" s="109">
        <v>0.15</v>
      </c>
      <c r="BQ22" s="109">
        <v>0.15</v>
      </c>
      <c r="BR22" s="129">
        <v>0.15</v>
      </c>
      <c r="BS22" s="129">
        <v>0.15</v>
      </c>
      <c r="BT22" s="129">
        <v>0.15</v>
      </c>
      <c r="BU22" s="129">
        <v>0.15</v>
      </c>
      <c r="BV22" s="129">
        <v>0.15</v>
      </c>
      <c r="BW22" s="129">
        <v>0.15</v>
      </c>
      <c r="BX22" s="129">
        <v>0.15</v>
      </c>
      <c r="BY22" s="129">
        <v>0.15</v>
      </c>
      <c r="BZ22" s="109">
        <v>0.15</v>
      </c>
      <c r="CA22" s="109">
        <v>0.15</v>
      </c>
      <c r="CB22" s="109">
        <v>0.15</v>
      </c>
      <c r="CC22" s="109">
        <v>0.15</v>
      </c>
      <c r="CD22" s="109">
        <v>0.15</v>
      </c>
      <c r="CE22" s="109">
        <v>0.15</v>
      </c>
      <c r="CF22" s="109">
        <v>0.15</v>
      </c>
      <c r="CG22" s="109">
        <v>0.15</v>
      </c>
      <c r="CH22" s="109">
        <v>0.15</v>
      </c>
      <c r="CI22" s="109">
        <v>0.15</v>
      </c>
      <c r="CJ22" s="136">
        <v>0.15</v>
      </c>
      <c r="CK22" s="136">
        <v>0.15</v>
      </c>
      <c r="CL22" s="136">
        <v>0.15</v>
      </c>
      <c r="CM22" s="136">
        <v>0.15</v>
      </c>
      <c r="CN22" s="136">
        <v>0.15</v>
      </c>
      <c r="CO22" s="136">
        <v>0.15</v>
      </c>
      <c r="CP22" s="136">
        <v>0.15</v>
      </c>
      <c r="CQ22" s="136">
        <v>0.15</v>
      </c>
      <c r="CR22" s="136">
        <v>0.15</v>
      </c>
      <c r="CS22" s="136">
        <v>0.15</v>
      </c>
      <c r="CT22" s="136">
        <v>0.15</v>
      </c>
      <c r="CU22" s="136">
        <v>0.15</v>
      </c>
      <c r="CV22" s="136">
        <v>0.15</v>
      </c>
      <c r="CW22" s="136">
        <v>0.15</v>
      </c>
      <c r="CX22" s="140">
        <v>0.15</v>
      </c>
      <c r="CY22" s="140">
        <v>0.15</v>
      </c>
      <c r="CZ22" s="140">
        <v>0.15</v>
      </c>
      <c r="DA22" s="140">
        <v>0.15</v>
      </c>
      <c r="DB22" s="140">
        <v>0.15</v>
      </c>
      <c r="DC22" s="140">
        <v>0.15</v>
      </c>
      <c r="DD22" s="140">
        <v>0.15</v>
      </c>
      <c r="DE22" s="140">
        <v>0.15</v>
      </c>
      <c r="DF22" s="140">
        <v>0.15</v>
      </c>
      <c r="DG22" s="147">
        <v>0.15</v>
      </c>
    </row>
    <row r="23" spans="1:111" x14ac:dyDescent="0.35">
      <c r="A23" s="25" t="s">
        <v>77</v>
      </c>
      <c r="B23" s="28" t="s">
        <v>35</v>
      </c>
      <c r="C23" s="27" t="s">
        <v>44</v>
      </c>
      <c r="D23" s="5">
        <f t="shared" ref="D23:O23" si="77">D24+D30</f>
        <v>988790.75936999987</v>
      </c>
      <c r="E23" s="3">
        <f t="shared" si="77"/>
        <v>989036.85355999996</v>
      </c>
      <c r="F23" s="3">
        <f t="shared" si="77"/>
        <v>969147.32040000008</v>
      </c>
      <c r="G23" s="3">
        <f t="shared" si="77"/>
        <v>1192676.7069599999</v>
      </c>
      <c r="H23" s="3">
        <f t="shared" si="77"/>
        <v>1216502.4066000003</v>
      </c>
      <c r="I23" s="3">
        <f t="shared" si="77"/>
        <v>1227864.9310200003</v>
      </c>
      <c r="J23" s="3">
        <f t="shared" si="77"/>
        <v>1230925.9461699999</v>
      </c>
      <c r="K23" s="3">
        <f t="shared" si="77"/>
        <v>1225944.9040000001</v>
      </c>
      <c r="L23" s="3">
        <f t="shared" si="77"/>
        <v>1241960.3099999998</v>
      </c>
      <c r="M23" s="3">
        <f t="shared" si="77"/>
        <v>1245463.3429700001</v>
      </c>
      <c r="N23" s="3">
        <f t="shared" si="77"/>
        <v>1249265.31006</v>
      </c>
      <c r="O23" s="3">
        <f t="shared" si="77"/>
        <v>1252810.9733400003</v>
      </c>
      <c r="P23" s="63">
        <f t="shared" ref="P23:W23" si="78">P24+P30</f>
        <v>1260519.15973</v>
      </c>
      <c r="Q23" s="63">
        <f t="shared" si="78"/>
        <v>1278616.3289400002</v>
      </c>
      <c r="R23" s="63">
        <f t="shared" si="78"/>
        <v>1292220.7340999998</v>
      </c>
      <c r="S23" s="63">
        <f t="shared" si="78"/>
        <v>1288413.09928</v>
      </c>
      <c r="T23" s="63">
        <f t="shared" si="78"/>
        <v>1309342.4064500001</v>
      </c>
      <c r="U23" s="56">
        <f t="shared" si="78"/>
        <v>1320210.2649599998</v>
      </c>
      <c r="V23" s="56">
        <f t="shared" si="78"/>
        <v>1322759.6212000002</v>
      </c>
      <c r="W23" s="56">
        <f t="shared" si="78"/>
        <v>1316276.2434599998</v>
      </c>
      <c r="X23" s="56">
        <f t="shared" ref="X23:AA23" si="79">X24+X30</f>
        <v>1315743.4576000003</v>
      </c>
      <c r="Y23" s="56">
        <f t="shared" si="79"/>
        <v>1313642.5281099998</v>
      </c>
      <c r="Z23" s="56">
        <f t="shared" si="79"/>
        <v>1306406.3199230002</v>
      </c>
      <c r="AA23" s="56">
        <f t="shared" si="79"/>
        <v>1310340.4601072001</v>
      </c>
      <c r="AB23" s="56">
        <f t="shared" ref="AB23:AD23" si="80">AB24+AB30</f>
        <v>1245446.7671700001</v>
      </c>
      <c r="AC23" s="56">
        <f t="shared" si="80"/>
        <v>1253003.2915399999</v>
      </c>
      <c r="AD23" s="56">
        <f t="shared" si="80"/>
        <v>1212205.5786000001</v>
      </c>
      <c r="AE23" s="56">
        <f t="shared" ref="AE23:AF23" si="81">AE24+AE30</f>
        <v>1215708.0604699999</v>
      </c>
      <c r="AF23" s="56">
        <f t="shared" si="81"/>
        <v>1321954.5215600003</v>
      </c>
      <c r="AG23" s="56">
        <f t="shared" ref="AG23:AI23" si="82">AG24+AG30</f>
        <v>1321587.4209999999</v>
      </c>
      <c r="AH23" s="56">
        <f t="shared" si="82"/>
        <v>1291515.5162</v>
      </c>
      <c r="AI23" s="56">
        <f t="shared" si="82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66">
        <v>1292672.1967500001</v>
      </c>
      <c r="AP23" s="67">
        <f>AP24+AP30</f>
        <v>1296092.1261200001</v>
      </c>
      <c r="AQ23" s="67">
        <f>AQ24+AQ30</f>
        <v>1344857.1571499999</v>
      </c>
      <c r="AR23" s="67">
        <v>1365820.5980999996</v>
      </c>
      <c r="AS23" s="78">
        <f t="shared" ref="AS23:AX23" si="83">AS24+AS30</f>
        <v>1340273.0387200001</v>
      </c>
      <c r="AT23" s="66">
        <f t="shared" si="83"/>
        <v>1275211.3199999998</v>
      </c>
      <c r="AU23" s="66">
        <f t="shared" si="83"/>
        <v>1265271.5691899997</v>
      </c>
      <c r="AV23" s="92">
        <f t="shared" si="83"/>
        <v>1269063.51</v>
      </c>
      <c r="AW23" s="92">
        <f t="shared" si="83"/>
        <v>1348877.5699999998</v>
      </c>
      <c r="AX23" s="78">
        <f t="shared" si="83"/>
        <v>1273779.3599999999</v>
      </c>
      <c r="AY23" s="78">
        <f t="shared" ref="AY23:BF23" si="84">AY24+AY30</f>
        <v>1248680.6200000001</v>
      </c>
      <c r="AZ23" s="67">
        <f t="shared" si="84"/>
        <v>1332157.5699999998</v>
      </c>
      <c r="BA23" s="67">
        <f t="shared" si="84"/>
        <v>1309567.93</v>
      </c>
      <c r="BB23" s="67">
        <f t="shared" si="84"/>
        <v>1280942.6299999999</v>
      </c>
      <c r="BC23" s="67">
        <f t="shared" si="84"/>
        <v>1330156.46</v>
      </c>
      <c r="BD23" s="67">
        <f t="shared" si="84"/>
        <v>1336460.52</v>
      </c>
      <c r="BE23" s="66">
        <f t="shared" si="84"/>
        <v>1249991.9099999999</v>
      </c>
      <c r="BF23" s="66">
        <f t="shared" si="84"/>
        <v>1294109.96</v>
      </c>
      <c r="BG23" s="66">
        <f t="shared" ref="BG23:BL23" si="85">BG24+BG30</f>
        <v>1255361.1800000002</v>
      </c>
      <c r="BH23" s="112">
        <f t="shared" si="85"/>
        <v>1226710.01</v>
      </c>
      <c r="BI23" s="112">
        <f t="shared" si="85"/>
        <v>1299876.3099999998</v>
      </c>
      <c r="BJ23" s="112">
        <f t="shared" si="85"/>
        <v>1260541.3999999999</v>
      </c>
      <c r="BK23" s="112">
        <f t="shared" si="85"/>
        <v>1246281.79</v>
      </c>
      <c r="BL23" s="112">
        <f t="shared" si="85"/>
        <v>1318028.97</v>
      </c>
      <c r="BM23" s="112">
        <f t="shared" ref="BM23:BS23" si="86">BM24+BM30</f>
        <v>1320057.9699532001</v>
      </c>
      <c r="BN23" s="112">
        <f t="shared" si="86"/>
        <v>1284671.8399999999</v>
      </c>
      <c r="BO23" s="112">
        <f t="shared" si="86"/>
        <v>1351858.9200000002</v>
      </c>
      <c r="BP23" s="112">
        <f t="shared" si="86"/>
        <v>1359536.8719199998</v>
      </c>
      <c r="BQ23" s="112">
        <f t="shared" si="86"/>
        <v>1294020.51</v>
      </c>
      <c r="BR23" s="112">
        <f t="shared" si="86"/>
        <v>1305847.9400000002</v>
      </c>
      <c r="BS23" s="112">
        <f t="shared" si="86"/>
        <v>1348908.23</v>
      </c>
      <c r="BT23" s="112">
        <f t="shared" ref="BT23:BU23" si="87">BT24+BT30</f>
        <v>1309502.03</v>
      </c>
      <c r="BU23" s="112">
        <f t="shared" si="87"/>
        <v>1365516.95</v>
      </c>
      <c r="BV23" s="112">
        <f t="shared" ref="BV23" si="88">BV24+BV30</f>
        <v>1383403.06</v>
      </c>
      <c r="BW23" s="112">
        <f t="shared" ref="BW23:CB23" si="89">BW24+BW30</f>
        <v>1357335.5104400001</v>
      </c>
      <c r="BX23" s="112">
        <f t="shared" si="89"/>
        <v>1435682.86</v>
      </c>
      <c r="BY23" s="112">
        <f t="shared" si="89"/>
        <v>1387173.15</v>
      </c>
      <c r="BZ23" s="112">
        <f t="shared" si="89"/>
        <v>1379498.44</v>
      </c>
      <c r="CA23" s="112">
        <f t="shared" si="89"/>
        <v>1427882.04</v>
      </c>
      <c r="CB23" s="112">
        <f t="shared" si="89"/>
        <v>1401609.8199999998</v>
      </c>
      <c r="CC23" s="112">
        <f t="shared" ref="CC23" si="90">CC24+CC30</f>
        <v>1352746.2711099999</v>
      </c>
      <c r="CD23" s="112">
        <f t="shared" ref="CD23:CJ23" si="91">CD24+CD30</f>
        <v>1426752.0783299999</v>
      </c>
      <c r="CE23" s="112">
        <f t="shared" si="91"/>
        <v>1432061.33</v>
      </c>
      <c r="CF23" s="112">
        <f t="shared" si="91"/>
        <v>1421286.6343200002</v>
      </c>
      <c r="CG23" s="112">
        <f t="shared" si="91"/>
        <v>1400399.97596</v>
      </c>
      <c r="CH23" s="112">
        <f t="shared" si="91"/>
        <v>1409069.84</v>
      </c>
      <c r="CI23" s="112">
        <f t="shared" si="91"/>
        <v>1390049.0789999999</v>
      </c>
      <c r="CJ23" s="135">
        <f t="shared" si="91"/>
        <v>1412092.589952</v>
      </c>
      <c r="CK23" s="135">
        <f t="shared" ref="CK23:CL23" si="92">CK24+CK30</f>
        <v>1409973.97</v>
      </c>
      <c r="CL23" s="135">
        <f t="shared" si="92"/>
        <v>1379673.39466</v>
      </c>
      <c r="CM23" s="135">
        <f t="shared" ref="CM23:CN23" si="93">CM24+CM30</f>
        <v>1390553.0004960001</v>
      </c>
      <c r="CN23" s="135">
        <f t="shared" si="93"/>
        <v>1375965.52</v>
      </c>
      <c r="CO23" s="135">
        <f t="shared" ref="CO23:CP23" si="94">CO24+CO30</f>
        <v>1383166.25</v>
      </c>
      <c r="CP23" s="135">
        <f t="shared" si="94"/>
        <v>1393554.8969999999</v>
      </c>
      <c r="CQ23" s="135">
        <f t="shared" ref="CQ23:CR23" si="95">CQ24+CQ30</f>
        <v>1397152.5059359998</v>
      </c>
      <c r="CR23" s="135">
        <f t="shared" si="95"/>
        <v>1370556.5699999998</v>
      </c>
      <c r="CS23" s="135">
        <f t="shared" ref="CS23:CT23" si="96">CS24+CS30</f>
        <v>1387187.3118100001</v>
      </c>
      <c r="CT23" s="135">
        <f t="shared" si="96"/>
        <v>1379266.3399999999</v>
      </c>
      <c r="CU23" s="135">
        <f t="shared" ref="CU23:CV23" si="97">CU24+CU30</f>
        <v>1353074.4999999998</v>
      </c>
      <c r="CV23" s="135">
        <f t="shared" si="97"/>
        <v>1373849.5398600001</v>
      </c>
      <c r="CW23" s="135">
        <f t="shared" ref="CW23" si="98">CW24+CW30</f>
        <v>1392502.21</v>
      </c>
      <c r="CX23" s="135">
        <f t="shared" ref="CX23:DC23" si="99">CX24+CX30</f>
        <v>1381633.19</v>
      </c>
      <c r="CY23" s="135">
        <f t="shared" si="99"/>
        <v>1363960.0539332891</v>
      </c>
      <c r="CZ23" s="135">
        <f t="shared" si="99"/>
        <v>1444675.398614536</v>
      </c>
      <c r="DA23" s="135">
        <f t="shared" si="99"/>
        <v>1441978.6187998862</v>
      </c>
      <c r="DB23" s="135">
        <f t="shared" si="99"/>
        <v>1443990.822834</v>
      </c>
      <c r="DC23" s="135">
        <f t="shared" si="99"/>
        <v>1421588.0240759999</v>
      </c>
      <c r="DD23" s="135">
        <f t="shared" ref="DD23:DE23" si="100">DD24+DD30</f>
        <v>1415344.8446719998</v>
      </c>
      <c r="DE23" s="135">
        <f t="shared" si="100"/>
        <v>1420387.8089940001</v>
      </c>
      <c r="DF23" s="135">
        <f t="shared" ref="DF23:DG23" si="101">DF24+DF30</f>
        <v>1409735.2521699998</v>
      </c>
      <c r="DG23" s="145">
        <f t="shared" si="101"/>
        <v>1431835.82</v>
      </c>
    </row>
    <row r="24" spans="1:111" x14ac:dyDescent="0.35">
      <c r="A24" s="25" t="s">
        <v>78</v>
      </c>
      <c r="B24" s="30" t="s">
        <v>36</v>
      </c>
      <c r="C24" s="27" t="s">
        <v>54</v>
      </c>
      <c r="D24" s="5">
        <f t="shared" ref="D24:O24" si="102">SUM(D25:D29)</f>
        <v>77695.080780000004</v>
      </c>
      <c r="E24" s="3">
        <f t="shared" si="102"/>
        <v>75607.229530000011</v>
      </c>
      <c r="F24" s="3">
        <f t="shared" si="102"/>
        <v>41540.734320000003</v>
      </c>
      <c r="G24" s="3">
        <f t="shared" si="102"/>
        <v>24411.99222</v>
      </c>
      <c r="H24" s="3">
        <f t="shared" si="102"/>
        <v>41956.486799999999</v>
      </c>
      <c r="I24" s="3">
        <f t="shared" si="102"/>
        <v>39288.248999999996</v>
      </c>
      <c r="J24" s="3">
        <f t="shared" si="102"/>
        <v>34248.642940000005</v>
      </c>
      <c r="K24" s="3">
        <f t="shared" si="102"/>
        <v>30978.435600000001</v>
      </c>
      <c r="L24" s="3">
        <f t="shared" si="102"/>
        <v>39303.455999999998</v>
      </c>
      <c r="M24" s="3">
        <f t="shared" si="102"/>
        <v>32616.648960000002</v>
      </c>
      <c r="N24" s="3">
        <f t="shared" si="102"/>
        <v>39455.742359999997</v>
      </c>
      <c r="O24" s="3">
        <f t="shared" si="102"/>
        <v>3954.1640400000001</v>
      </c>
      <c r="P24" s="63">
        <f t="shared" ref="P24:W24" si="103">SUM(P25:P29)</f>
        <v>4655.22498</v>
      </c>
      <c r="Q24" s="63">
        <f t="shared" si="103"/>
        <v>5731.2872699999998</v>
      </c>
      <c r="R24" s="63">
        <f t="shared" si="103"/>
        <v>5927.3861499999994</v>
      </c>
      <c r="S24" s="63">
        <f t="shared" si="103"/>
        <v>5796.3655600000002</v>
      </c>
      <c r="T24" s="63">
        <f t="shared" si="103"/>
        <v>5919.3732799999998</v>
      </c>
      <c r="U24" s="56">
        <f t="shared" si="103"/>
        <v>6003.0547200000001</v>
      </c>
      <c r="V24" s="56">
        <f t="shared" si="103"/>
        <v>6339.124240000001</v>
      </c>
      <c r="W24" s="56">
        <f t="shared" si="103"/>
        <v>6490.666729999999</v>
      </c>
      <c r="X24" s="56">
        <f t="shared" ref="X24:AA24" si="104">SUM(X25:X29)</f>
        <v>17082.573200000003</v>
      </c>
      <c r="Y24" s="56">
        <f t="shared" si="104"/>
        <v>16814.76801</v>
      </c>
      <c r="Z24" s="56">
        <f t="shared" si="104"/>
        <v>16257.843622999999</v>
      </c>
      <c r="AA24" s="56">
        <f t="shared" si="104"/>
        <v>16145.160255999999</v>
      </c>
      <c r="AB24" s="56">
        <f t="shared" ref="AB24:AC24" si="105">SUM(AB25:AB29)</f>
        <v>15440.139252000001</v>
      </c>
      <c r="AC24" s="56">
        <f t="shared" si="105"/>
        <v>15539.229419999998</v>
      </c>
      <c r="AD24" s="56">
        <f t="shared" ref="AD24:AJ24" si="106">SUM(AD25:AD29)</f>
        <v>5289.1213360000002</v>
      </c>
      <c r="AE24" s="56">
        <f t="shared" si="106"/>
        <v>5282.6434000000008</v>
      </c>
      <c r="AF24" s="56">
        <f t="shared" si="106"/>
        <v>7130.5630000000001</v>
      </c>
      <c r="AG24" s="56">
        <f t="shared" si="106"/>
        <v>6820.2749999999996</v>
      </c>
      <c r="AH24" s="56">
        <f t="shared" si="106"/>
        <v>5969.7509199999995</v>
      </c>
      <c r="AI24" s="56">
        <f t="shared" si="106"/>
        <v>6530.8766599999999</v>
      </c>
      <c r="AJ24" s="56">
        <f t="shared" si="106"/>
        <v>6725.0215199999993</v>
      </c>
      <c r="AK24" s="56">
        <f t="shared" ref="AK24:AL24" si="107">SUM(AK25:AK29)</f>
        <v>6971.49496</v>
      </c>
      <c r="AL24" s="56">
        <f t="shared" si="107"/>
        <v>6369.2561399999995</v>
      </c>
      <c r="AM24" s="56">
        <f t="shared" ref="AM24" si="108">SUM(AM25:AM29)</f>
        <v>18494.597999999998</v>
      </c>
      <c r="AN24" s="56">
        <v>6867.6</v>
      </c>
      <c r="AO24" s="66">
        <v>6599.7690000000002</v>
      </c>
      <c r="AP24" s="67">
        <f>SUM(AP25:AP29)</f>
        <v>18196.661670000001</v>
      </c>
      <c r="AQ24" s="67">
        <f>SUM(AQ25:AQ29)</f>
        <v>18352.567150000003</v>
      </c>
      <c r="AR24" s="67">
        <v>17579.120039999998</v>
      </c>
      <c r="AS24" s="78">
        <f t="shared" ref="AS24:AX24" si="109">SUM(AS25:AS29)</f>
        <v>16977.620220000004</v>
      </c>
      <c r="AT24" s="67">
        <f t="shared" si="109"/>
        <v>15842.89</v>
      </c>
      <c r="AU24" s="67">
        <f t="shared" si="109"/>
        <v>15501.210000000001</v>
      </c>
      <c r="AV24" s="92">
        <f t="shared" si="109"/>
        <v>15351.49</v>
      </c>
      <c r="AW24" s="92">
        <f t="shared" si="109"/>
        <v>16100.630000000001</v>
      </c>
      <c r="AX24" s="78">
        <f t="shared" si="109"/>
        <v>15031.699999999999</v>
      </c>
      <c r="AY24" s="78">
        <f t="shared" ref="AY24:BF24" si="110">SUM(AY25:AY29)</f>
        <v>14278.08</v>
      </c>
      <c r="AZ24" s="67">
        <f t="shared" si="110"/>
        <v>14845.69</v>
      </c>
      <c r="BA24" s="67">
        <f t="shared" si="110"/>
        <v>17479.22</v>
      </c>
      <c r="BB24" s="67">
        <f t="shared" si="110"/>
        <v>5753.9</v>
      </c>
      <c r="BC24" s="67">
        <f t="shared" si="110"/>
        <v>6954.51</v>
      </c>
      <c r="BD24" s="67">
        <f t="shared" si="110"/>
        <v>6689.33</v>
      </c>
      <c r="BE24" s="66">
        <f t="shared" si="110"/>
        <v>6122.71</v>
      </c>
      <c r="BF24" s="66">
        <f t="shared" si="110"/>
        <v>6319.48</v>
      </c>
      <c r="BG24" s="66">
        <f t="shared" ref="BG24:BH24" si="111">SUM(BG25:BG29)</f>
        <v>5758.6100000000006</v>
      </c>
      <c r="BH24" s="112">
        <f t="shared" si="111"/>
        <v>5687.21</v>
      </c>
      <c r="BI24" s="112">
        <f t="shared" ref="BI24:BJ24" si="112">SUM(BI25:BI29)</f>
        <v>6234.89</v>
      </c>
      <c r="BJ24" s="112">
        <f t="shared" si="112"/>
        <v>5986.79</v>
      </c>
      <c r="BK24" s="112">
        <f t="shared" ref="BK24" si="113">SUM(BK25:BK29)</f>
        <v>4271.58</v>
      </c>
      <c r="BL24" s="112">
        <f t="shared" ref="BL24:BQ24" si="114">SUM(BL25:BL29)</f>
        <v>4016.9400000000005</v>
      </c>
      <c r="BM24" s="112">
        <f t="shared" si="114"/>
        <v>1822.29</v>
      </c>
      <c r="BN24" s="112">
        <f t="shared" si="114"/>
        <v>1764.1399999999999</v>
      </c>
      <c r="BO24" s="112">
        <f t="shared" si="114"/>
        <v>2502.5299999999997</v>
      </c>
      <c r="BP24" s="112">
        <f t="shared" si="114"/>
        <v>2522.9700000000003</v>
      </c>
      <c r="BQ24" s="112">
        <f t="shared" si="114"/>
        <v>2429.9899999999998</v>
      </c>
      <c r="BR24" s="112">
        <f t="shared" ref="BR24:BS24" si="115">SUM(BR25:BR29)</f>
        <v>2599.0500000000002</v>
      </c>
      <c r="BS24" s="112">
        <f t="shared" si="115"/>
        <v>2084.2999999999997</v>
      </c>
      <c r="BT24" s="112">
        <f t="shared" ref="BT24:BU24" si="116">SUM(BT25:BT29)</f>
        <v>2416.48</v>
      </c>
      <c r="BU24" s="112">
        <f t="shared" si="116"/>
        <v>2109.5500000000002</v>
      </c>
      <c r="BV24" s="112">
        <f t="shared" ref="BV24:BW24" si="117">SUM(BV25:BV29)</f>
        <v>2081.5899999999997</v>
      </c>
      <c r="BW24" s="112">
        <f t="shared" si="117"/>
        <v>2162.0756799999999</v>
      </c>
      <c r="BX24" s="112">
        <f t="shared" ref="BX24:BY24" si="118">SUM(BX25:BX29)</f>
        <v>2206.6</v>
      </c>
      <c r="BY24" s="112">
        <f t="shared" si="118"/>
        <v>2099.9</v>
      </c>
      <c r="BZ24" s="112">
        <f t="shared" ref="BZ24:CA24" si="119">SUM(BZ25:BZ29)</f>
        <v>1797.9399999999998</v>
      </c>
      <c r="CA24" s="112">
        <f t="shared" si="119"/>
        <v>1545.87</v>
      </c>
      <c r="CB24" s="112">
        <f t="shared" ref="CB24:CC24" si="120">SUM(CB25:CB29)</f>
        <v>1501.1389999999999</v>
      </c>
      <c r="CC24" s="112">
        <f t="shared" si="120"/>
        <v>1384.0945400000001</v>
      </c>
      <c r="CD24" s="112">
        <f t="shared" ref="CD24:CE24" si="121">SUM(CD25:CD29)</f>
        <v>1494.3235199999999</v>
      </c>
      <c r="CE24" s="112">
        <f t="shared" si="121"/>
        <v>1441.38</v>
      </c>
      <c r="CF24" s="112">
        <f t="shared" ref="CF24:CG24" si="122">SUM(CF25:CF29)</f>
        <v>930.52679999999987</v>
      </c>
      <c r="CG24" s="112">
        <f t="shared" si="122"/>
        <v>1272.1770899999999</v>
      </c>
      <c r="CH24" s="112">
        <f t="shared" ref="CH24:CJ24" si="123">SUM(CH25:CH29)</f>
        <v>1644.7199999999998</v>
      </c>
      <c r="CI24" s="112">
        <f t="shared" si="123"/>
        <v>1510.12</v>
      </c>
      <c r="CJ24" s="135">
        <f t="shared" si="123"/>
        <v>1409.18</v>
      </c>
      <c r="CK24" s="135">
        <f t="shared" ref="CK24:CL24" si="124">SUM(CK25:CK29)</f>
        <v>1409.71</v>
      </c>
      <c r="CL24" s="135">
        <f t="shared" si="124"/>
        <v>1332.1948199999999</v>
      </c>
      <c r="CM24" s="135">
        <f t="shared" ref="CM24:CN24" si="125">SUM(CM25:CM29)</f>
        <v>1427.328606</v>
      </c>
      <c r="CN24" s="135">
        <f t="shared" si="125"/>
        <v>1144.5900000000001</v>
      </c>
      <c r="CO24" s="135">
        <f t="shared" ref="CO24:CP24" si="126">SUM(CO25:CO29)</f>
        <v>1045.29</v>
      </c>
      <c r="CP24" s="135">
        <f t="shared" si="126"/>
        <v>885.9670000000001</v>
      </c>
      <c r="CQ24" s="135">
        <f t="shared" ref="CQ24:CR24" si="127">SUM(CQ25:CQ29)</f>
        <v>884.9572159999999</v>
      </c>
      <c r="CR24" s="135">
        <f t="shared" si="127"/>
        <v>982.25</v>
      </c>
      <c r="CS24" s="135">
        <f t="shared" ref="CS24:CT24" si="128">SUM(CS25:CS29)</f>
        <v>944.65445499999998</v>
      </c>
      <c r="CT24" s="135">
        <f t="shared" si="128"/>
        <v>1332.66</v>
      </c>
      <c r="CU24" s="135">
        <f t="shared" ref="CU24:CV24" si="129">SUM(CU25:CU29)</f>
        <v>728.91</v>
      </c>
      <c r="CV24" s="135">
        <f t="shared" si="129"/>
        <v>737.43360600000005</v>
      </c>
      <c r="CW24" s="135">
        <f t="shared" ref="CW24" si="130">SUM(CW25:CW29)</f>
        <v>688.77</v>
      </c>
      <c r="CX24" s="135">
        <f t="shared" ref="CX24:DC24" si="131">SUM(CX25:CX29)</f>
        <v>603.02</v>
      </c>
      <c r="CY24" s="135">
        <f t="shared" si="131"/>
        <v>713.30445171680003</v>
      </c>
      <c r="CZ24" s="135">
        <f t="shared" si="131"/>
        <v>703.33187628619999</v>
      </c>
      <c r="DA24" s="135">
        <f t="shared" si="131"/>
        <v>3955.4875200000001</v>
      </c>
      <c r="DB24" s="135">
        <f t="shared" si="131"/>
        <v>4081.4553900000001</v>
      </c>
      <c r="DC24" s="135">
        <f t="shared" si="131"/>
        <v>4166.8273349999999</v>
      </c>
      <c r="DD24" s="135">
        <f t="shared" ref="DD24:DE24" si="132">SUM(DD25:DD29)</f>
        <v>821.23712</v>
      </c>
      <c r="DE24" s="135">
        <f t="shared" si="132"/>
        <v>797.7307800000001</v>
      </c>
      <c r="DF24" s="135">
        <f t="shared" ref="DF24:DG24" si="133">SUM(DF25:DF29)</f>
        <v>797.99879699999997</v>
      </c>
      <c r="DG24" s="145">
        <f t="shared" si="133"/>
        <v>725.53</v>
      </c>
    </row>
    <row r="25" spans="1:111" x14ac:dyDescent="0.35">
      <c r="A25" s="25" t="s">
        <v>79</v>
      </c>
      <c r="B25" s="29" t="s">
        <v>37</v>
      </c>
      <c r="C25" s="27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54">
        <f>27.3*123.1541</f>
        <v>3362.1069299999999</v>
      </c>
      <c r="Q25" s="54">
        <f>33.5*125.4111</f>
        <v>4201.2718500000001</v>
      </c>
      <c r="R25" s="54">
        <f>33.3*126.3835</f>
        <v>4208.5705499999995</v>
      </c>
      <c r="S25" s="54">
        <f>33.2*126.5582</f>
        <v>4201.7322400000003</v>
      </c>
      <c r="T25" s="54">
        <f>33.7*127.5727</f>
        <v>4299.1999900000001</v>
      </c>
      <c r="U25" s="55">
        <f>30.7*128.2704</f>
        <v>3937.9012799999996</v>
      </c>
      <c r="V25" s="55">
        <f>27.2*129.1064</f>
        <v>3511.6940800000002</v>
      </c>
      <c r="W25" s="55">
        <f>28.2*129.0391</f>
        <v>3638.9026199999998</v>
      </c>
      <c r="X25" s="55">
        <f>28.4*128.4404</f>
        <v>3647.7073600000003</v>
      </c>
      <c r="Y25" s="55">
        <f>26.9*128.2591</f>
        <v>3450.1697899999995</v>
      </c>
      <c r="Z25" s="55">
        <f>26.1*128.1053</f>
        <v>3343.5483300000001</v>
      </c>
      <c r="AA25" s="55">
        <f>26.12*128.6672</f>
        <v>3360.7872640000005</v>
      </c>
      <c r="AB25" s="55">
        <f>26.12*129.4011</f>
        <v>3379.9567320000006</v>
      </c>
      <c r="AC25" s="55">
        <f>25.6*130.1443</f>
        <v>3331.6940799999998</v>
      </c>
      <c r="AD25" s="55">
        <f>25.3*128.6288</f>
        <v>3254.3086400000002</v>
      </c>
      <c r="AE25" s="55">
        <f>25.17*128.2195</f>
        <v>3227.2848150000004</v>
      </c>
      <c r="AF25" s="55">
        <f>25.2*129.6466</f>
        <v>3267.0943200000002</v>
      </c>
      <c r="AG25" s="55">
        <f>25.2*129.91</f>
        <v>3273.732</v>
      </c>
      <c r="AH25" s="55">
        <f>26.2*127.2868</f>
        <v>3334.9141599999998</v>
      </c>
      <c r="AI25" s="55">
        <f>31*126.0787</f>
        <v>3908.4396999999999</v>
      </c>
      <c r="AJ25" s="55">
        <f>30.4*125.0004</f>
        <v>3800.0121599999998</v>
      </c>
      <c r="AK25" s="55">
        <f>27.5*125.3866</f>
        <v>3448.1315</v>
      </c>
      <c r="AL25" s="55">
        <f>28.7*128.154</f>
        <v>3678.0198</v>
      </c>
      <c r="AM25" s="55">
        <f>28.3*125.985</f>
        <v>3565.3755000000001</v>
      </c>
      <c r="AN25" s="55">
        <v>3659.38</v>
      </c>
      <c r="AO25" s="8">
        <v>3376.6259999999997</v>
      </c>
      <c r="AP25" s="45">
        <v>3442.3435199999994</v>
      </c>
      <c r="AQ25" s="69">
        <v>3575.7031200000001</v>
      </c>
      <c r="AR25" s="69">
        <v>3507.5708999999997</v>
      </c>
      <c r="AS25" s="8">
        <v>3295.5762400000003</v>
      </c>
      <c r="AT25" s="8">
        <v>3137.72</v>
      </c>
      <c r="AU25" s="8">
        <v>2849.77</v>
      </c>
      <c r="AV25" s="93">
        <v>3039.65</v>
      </c>
      <c r="AW25" s="93">
        <v>3225.57</v>
      </c>
      <c r="AX25" s="76">
        <v>3052.71</v>
      </c>
      <c r="AY25" s="76">
        <v>2162.58</v>
      </c>
      <c r="AZ25" s="46">
        <v>2307.83</v>
      </c>
      <c r="BA25" s="46">
        <v>2231.39</v>
      </c>
      <c r="BB25" s="46">
        <v>2201.9499999999998</v>
      </c>
      <c r="BC25" s="46">
        <v>2227.08</v>
      </c>
      <c r="BD25" s="46">
        <v>2726.4</v>
      </c>
      <c r="BE25" s="45">
        <v>2757.25</v>
      </c>
      <c r="BF25" s="45">
        <v>2872.49</v>
      </c>
      <c r="BG25" s="45">
        <v>2566.9299999999998</v>
      </c>
      <c r="BH25" s="110">
        <v>2744.18</v>
      </c>
      <c r="BI25" s="110">
        <v>2933.15</v>
      </c>
      <c r="BJ25" s="110">
        <v>2890.65</v>
      </c>
      <c r="BK25" s="110">
        <v>1225.29</v>
      </c>
      <c r="BL25" s="110">
        <v>814.82</v>
      </c>
      <c r="BM25" s="110">
        <v>817.88</v>
      </c>
      <c r="BN25" s="110">
        <v>798.06</v>
      </c>
      <c r="BO25" s="110">
        <v>1565.04</v>
      </c>
      <c r="BP25" s="110">
        <v>1582.45</v>
      </c>
      <c r="BQ25" s="110">
        <v>1534.73</v>
      </c>
      <c r="BR25" s="110">
        <v>1742.38</v>
      </c>
      <c r="BS25" s="110">
        <v>1776.06</v>
      </c>
      <c r="BT25" s="110">
        <v>1560.58</v>
      </c>
      <c r="BU25" s="110">
        <v>1256.75</v>
      </c>
      <c r="BV25" s="110">
        <v>1200.33</v>
      </c>
      <c r="BW25" s="110">
        <v>1143.3341399999999</v>
      </c>
      <c r="BX25" s="110">
        <v>1157.31</v>
      </c>
      <c r="BY25" s="110">
        <v>1118.6500000000001</v>
      </c>
      <c r="BZ25" s="109">
        <v>1104.07</v>
      </c>
      <c r="CA25" s="109">
        <v>726.56</v>
      </c>
      <c r="CB25" s="109">
        <v>717.87</v>
      </c>
      <c r="CC25" s="109">
        <v>662.59844999999996</v>
      </c>
      <c r="CD25" s="109">
        <v>669.33240999999998</v>
      </c>
      <c r="CE25" s="109">
        <v>673.69</v>
      </c>
      <c r="CF25" s="109">
        <v>480.77217999999999</v>
      </c>
      <c r="CG25" s="109">
        <v>628.23559999999998</v>
      </c>
      <c r="CH25" s="109">
        <v>622.41</v>
      </c>
      <c r="CI25" s="109">
        <v>612.04</v>
      </c>
      <c r="CJ25" s="136">
        <v>596.19000000000005</v>
      </c>
      <c r="CK25" s="136">
        <v>592.66999999999996</v>
      </c>
      <c r="CL25" s="136">
        <v>578.95155999999997</v>
      </c>
      <c r="CM25" s="136">
        <v>800.47169400000007</v>
      </c>
      <c r="CN25" s="136">
        <v>707.98</v>
      </c>
      <c r="CO25" s="136">
        <v>695.33</v>
      </c>
      <c r="CP25" s="136">
        <v>569.37400000000002</v>
      </c>
      <c r="CQ25" s="136">
        <v>577.07874399999992</v>
      </c>
      <c r="CR25" s="136">
        <v>679.67</v>
      </c>
      <c r="CS25" s="136">
        <v>702.71195999999998</v>
      </c>
      <c r="CT25" s="136">
        <v>687.08</v>
      </c>
      <c r="CU25" s="136">
        <v>679.11</v>
      </c>
      <c r="CV25" s="136">
        <v>688.37357400000008</v>
      </c>
      <c r="CW25" s="136">
        <v>688.77</v>
      </c>
      <c r="CX25" s="136">
        <v>599.92999999999995</v>
      </c>
      <c r="CY25" s="136">
        <v>610.06842400000005</v>
      </c>
      <c r="CZ25" s="136">
        <v>600.50098777690005</v>
      </c>
      <c r="DA25" s="136">
        <v>600.16438000000005</v>
      </c>
      <c r="DB25" s="136">
        <v>600.90260999999998</v>
      </c>
      <c r="DC25" s="136">
        <v>609.89316299999996</v>
      </c>
      <c r="DD25" s="136">
        <v>435.41062400000004</v>
      </c>
      <c r="DE25" s="136">
        <v>436.40566200000001</v>
      </c>
      <c r="DF25" s="136">
        <v>435.84</v>
      </c>
      <c r="DG25" s="146">
        <v>428.51</v>
      </c>
    </row>
    <row r="26" spans="1:111" x14ac:dyDescent="0.35">
      <c r="A26" s="25" t="s">
        <v>80</v>
      </c>
      <c r="B26" s="29" t="s">
        <v>38</v>
      </c>
      <c r="C26" s="27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54">
        <f>10.5*123.1541</f>
        <v>1293.11805</v>
      </c>
      <c r="Q26" s="54">
        <f>12.2*125.4111</f>
        <v>1530.0154199999999</v>
      </c>
      <c r="R26" s="54">
        <f>12.1*126.3835</f>
        <v>1529.24035</v>
      </c>
      <c r="S26" s="54">
        <f>11.1*126.5582</f>
        <v>1404.79602</v>
      </c>
      <c r="T26" s="54">
        <f>11.1*127.5727</f>
        <v>1416.0569699999999</v>
      </c>
      <c r="U26" s="55">
        <f>14.5*128.2704</f>
        <v>1859.9207999999999</v>
      </c>
      <c r="V26" s="55">
        <f>10*129.1064</f>
        <v>1291.0640000000001</v>
      </c>
      <c r="W26" s="55">
        <f>10.3*129.0391</f>
        <v>1329.1027300000001</v>
      </c>
      <c r="X26" s="55">
        <f>10.2*128.4404</f>
        <v>1310.0920800000001</v>
      </c>
      <c r="Y26" s="55">
        <f>10.2*128.2591</f>
        <v>1308.2428199999997</v>
      </c>
      <c r="Z26" s="55">
        <f>7*128.1053</f>
        <v>896.73710000000005</v>
      </c>
      <c r="AA26" s="55">
        <f>4.27*128.6672</f>
        <v>549.40894400000002</v>
      </c>
      <c r="AB26" s="55">
        <f>3.1*129.4011</f>
        <v>401.14341000000007</v>
      </c>
      <c r="AC26" s="55">
        <f>3.4*130.1443</f>
        <v>442.49061999999992</v>
      </c>
      <c r="AD26" s="55">
        <f>3.42*128.6228</f>
        <v>439.88997600000005</v>
      </c>
      <c r="AE26" s="55">
        <f>3.42*128.2195</f>
        <v>438.51069000000001</v>
      </c>
      <c r="AF26" s="55">
        <f>17.2*129.6466</f>
        <v>2229.9215199999999</v>
      </c>
      <c r="AG26" s="55">
        <f>15.7*129.91</f>
        <v>2039.5869999999998</v>
      </c>
      <c r="AH26" s="55">
        <f>15.7*127.2868</f>
        <v>1998.4027599999999</v>
      </c>
      <c r="AI26" s="55">
        <f>15.8*126.0787</f>
        <v>1992.0434600000001</v>
      </c>
      <c r="AJ26" s="55">
        <f>15.8*125.0004</f>
        <v>1975.0063200000002</v>
      </c>
      <c r="AK26" s="55">
        <f>20.2*125.3866</f>
        <v>2532.8093199999998</v>
      </c>
      <c r="AL26" s="55">
        <f>13.2*128.154</f>
        <v>1691.6327999999999</v>
      </c>
      <c r="AM26" s="55">
        <f>12.4*125.985</f>
        <v>1562.2139999999999</v>
      </c>
      <c r="AN26" s="55">
        <v>1566.51</v>
      </c>
      <c r="AO26" s="8">
        <v>1573.2007500000002</v>
      </c>
      <c r="AP26" s="45">
        <v>1603.8191400000001</v>
      </c>
      <c r="AQ26" s="69">
        <v>1665.9525900000001</v>
      </c>
      <c r="AR26" s="69">
        <v>756.53489999999988</v>
      </c>
      <c r="AS26" s="8">
        <v>607.79070000000002</v>
      </c>
      <c r="AT26" s="8">
        <v>668.69</v>
      </c>
      <c r="AU26" s="8">
        <v>690.08</v>
      </c>
      <c r="AV26" s="93">
        <v>727.98</v>
      </c>
      <c r="AW26" s="93">
        <v>449.13</v>
      </c>
      <c r="AX26">
        <v>218.97</v>
      </c>
      <c r="AY26">
        <v>569.1</v>
      </c>
      <c r="AZ26" s="46">
        <v>634.32000000000005</v>
      </c>
      <c r="BA26" s="46">
        <v>624.26</v>
      </c>
      <c r="BB26" s="46">
        <v>655.34</v>
      </c>
      <c r="BC26" s="46">
        <v>983.74</v>
      </c>
      <c r="BD26" s="46">
        <v>988.67</v>
      </c>
      <c r="BE26" s="8">
        <v>527.12</v>
      </c>
      <c r="BF26" s="8">
        <v>448.39</v>
      </c>
      <c r="BG26" s="8">
        <v>1738.45</v>
      </c>
      <c r="BH26" s="109">
        <v>1551.06</v>
      </c>
      <c r="BI26" s="109">
        <v>1779.38</v>
      </c>
      <c r="BJ26" s="109">
        <v>1630.27</v>
      </c>
      <c r="BK26" s="109">
        <v>1624.69</v>
      </c>
      <c r="BL26" s="109">
        <v>1701.13</v>
      </c>
      <c r="BM26" s="109">
        <v>1004.41</v>
      </c>
      <c r="BN26" s="109">
        <v>966.08</v>
      </c>
      <c r="BO26" s="109">
        <v>937.49</v>
      </c>
      <c r="BP26" s="109">
        <v>940.52</v>
      </c>
      <c r="BQ26" s="109">
        <v>895.26</v>
      </c>
      <c r="BR26" s="109">
        <v>856.67</v>
      </c>
      <c r="BS26" s="109">
        <v>132.1</v>
      </c>
      <c r="BT26" s="109">
        <v>684.72</v>
      </c>
      <c r="BU26" s="109">
        <v>673.26</v>
      </c>
      <c r="BV26" s="109">
        <v>698.93</v>
      </c>
      <c r="BW26" s="109">
        <v>850.17153999999994</v>
      </c>
      <c r="BX26" s="109">
        <v>879.55</v>
      </c>
      <c r="BY26" s="109">
        <v>911.05</v>
      </c>
      <c r="BZ26" s="109">
        <v>623.77</v>
      </c>
      <c r="CA26" s="109">
        <v>742.02</v>
      </c>
      <c r="CB26" s="109">
        <v>711.78599999999994</v>
      </c>
      <c r="CC26" s="109">
        <v>647.87404000000004</v>
      </c>
      <c r="CD26" s="109">
        <v>747.16176000000007</v>
      </c>
      <c r="CE26" s="109">
        <v>767.69</v>
      </c>
      <c r="CF26" s="109">
        <v>449.75461999999993</v>
      </c>
      <c r="CG26" s="109">
        <v>643.94148999999993</v>
      </c>
      <c r="CH26" s="109">
        <v>1022.31</v>
      </c>
      <c r="CI26" s="109">
        <v>898.08</v>
      </c>
      <c r="CJ26" s="136">
        <v>812.99</v>
      </c>
      <c r="CK26" s="136">
        <v>817.04</v>
      </c>
      <c r="CL26" s="136">
        <v>753.24325999999996</v>
      </c>
      <c r="CM26" s="136">
        <v>626.85691200000008</v>
      </c>
      <c r="CN26" s="136">
        <v>436.61</v>
      </c>
      <c r="CO26" s="136">
        <v>349.96</v>
      </c>
      <c r="CP26" s="136">
        <v>316.59300000000002</v>
      </c>
      <c r="CQ26" s="136">
        <v>307.87847199999999</v>
      </c>
      <c r="CR26" s="136">
        <v>302.58</v>
      </c>
      <c r="CS26" s="136">
        <v>241.94249500000001</v>
      </c>
      <c r="CT26" s="136">
        <v>645.58000000000004</v>
      </c>
      <c r="CU26" s="136">
        <v>49.8</v>
      </c>
      <c r="CV26" s="136">
        <v>49.060032</v>
      </c>
      <c r="CW26" s="136">
        <v>0</v>
      </c>
      <c r="CX26" s="136">
        <v>3.09</v>
      </c>
      <c r="CY26" s="136">
        <v>103.2360277168</v>
      </c>
      <c r="CZ26" s="136">
        <v>102.8308885093</v>
      </c>
      <c r="DA26" s="136">
        <v>3355.32314</v>
      </c>
      <c r="DB26" s="136">
        <v>3480.55278</v>
      </c>
      <c r="DC26" s="136">
        <v>3556.9341720000002</v>
      </c>
      <c r="DD26" s="136">
        <v>385.82649600000002</v>
      </c>
      <c r="DE26" s="136">
        <v>361.32511800000003</v>
      </c>
      <c r="DF26" s="136">
        <v>362.15879699999999</v>
      </c>
      <c r="DG26" s="146">
        <v>297.02</v>
      </c>
    </row>
    <row r="27" spans="1:111" x14ac:dyDescent="0.35">
      <c r="A27" s="25" t="s">
        <v>81</v>
      </c>
      <c r="B27" s="29" t="s">
        <v>39</v>
      </c>
      <c r="C27" s="27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54">
        <f>0</f>
        <v>0</v>
      </c>
      <c r="Q27" s="54">
        <f>0</f>
        <v>0</v>
      </c>
      <c r="R27" s="54">
        <f>1.5*126.3835</f>
        <v>189.57524999999998</v>
      </c>
      <c r="S27" s="54">
        <f>1.5*126.5582</f>
        <v>189.8373</v>
      </c>
      <c r="T27" s="54">
        <f>1.6*127.5727</f>
        <v>204.11632</v>
      </c>
      <c r="U27" s="55">
        <f>1.6*128.2704</f>
        <v>205.23264</v>
      </c>
      <c r="V27" s="55">
        <f>11.9*129.1064</f>
        <v>1536.36616</v>
      </c>
      <c r="W27" s="55">
        <f>11.8*129.0391</f>
        <v>1522.66138</v>
      </c>
      <c r="X27" s="55">
        <f>15.4*128.4404</f>
        <v>1977.9821600000002</v>
      </c>
      <c r="Y27" s="55">
        <f>15.7*128.2591</f>
        <v>2013.6678699999998</v>
      </c>
      <c r="Z27" s="55">
        <f>15.51*128.1053</f>
        <v>1986.9132030000001</v>
      </c>
      <c r="AA27" s="55">
        <f>16.04*128.6672</f>
        <v>2063.8218879999999</v>
      </c>
      <c r="AB27" s="55">
        <f>11.1*129.4011</f>
        <v>1436.35221</v>
      </c>
      <c r="AC27" s="55">
        <f>11.4*130.1443</f>
        <v>1483.6450199999999</v>
      </c>
      <c r="AD27" s="55">
        <f>12.4*128.6228</f>
        <v>1594.9227200000003</v>
      </c>
      <c r="AE27" s="55">
        <f>12.61*128.2195</f>
        <v>1616.8478950000001</v>
      </c>
      <c r="AF27" s="55">
        <f>12.6*129.6466</f>
        <v>1633.5471600000001</v>
      </c>
      <c r="AG27" s="55">
        <f>11.6*129.91</f>
        <v>1506.9559999999999</v>
      </c>
      <c r="AH27" s="55">
        <f>5*127.2868</f>
        <v>636.43399999999997</v>
      </c>
      <c r="AI27" s="55">
        <f>5*126.0787</f>
        <v>630.39350000000002</v>
      </c>
      <c r="AJ27" s="55">
        <f>7.6*125.0004</f>
        <v>950.00303999999994</v>
      </c>
      <c r="AK27" s="55">
        <f>7.9*125.3866</f>
        <v>990.55414000000007</v>
      </c>
      <c r="AL27" s="55">
        <f>7.8*128.1543</f>
        <v>999.60354000000007</v>
      </c>
      <c r="AM27" s="55">
        <f>6.8*125.985</f>
        <v>856.69799999999998</v>
      </c>
      <c r="AN27" s="55">
        <v>1641.71</v>
      </c>
      <c r="AO27" s="8">
        <v>1649.9422500000001</v>
      </c>
      <c r="AP27" s="45">
        <v>1649.9422500000001</v>
      </c>
      <c r="AQ27" s="69">
        <v>1164.8123800000001</v>
      </c>
      <c r="AR27" s="69">
        <v>1182.9454799999999</v>
      </c>
      <c r="AS27" s="8">
        <v>1161.55556</v>
      </c>
      <c r="AT27" s="8">
        <v>694.41</v>
      </c>
      <c r="AU27" s="8">
        <v>690.08</v>
      </c>
      <c r="AV27" s="93">
        <v>319.29000000000002</v>
      </c>
      <c r="AW27" s="93">
        <v>421.91</v>
      </c>
      <c r="AX27" s="75">
        <v>399.3</v>
      </c>
      <c r="AY27" s="75">
        <v>392.05</v>
      </c>
      <c r="AZ27" s="46">
        <v>0</v>
      </c>
      <c r="BA27" s="46">
        <v>2908.78</v>
      </c>
      <c r="BB27" s="46">
        <v>2896.61</v>
      </c>
      <c r="BC27" s="46">
        <v>3743.69</v>
      </c>
      <c r="BD27" s="46">
        <v>2974.26</v>
      </c>
      <c r="BE27" s="8">
        <v>2838.34</v>
      </c>
      <c r="BF27" s="8">
        <v>2998.6</v>
      </c>
      <c r="BG27" s="8">
        <v>1453.23</v>
      </c>
      <c r="BH27" s="109">
        <v>1391.97</v>
      </c>
      <c r="BI27" s="109">
        <v>1522.36</v>
      </c>
      <c r="BJ27" s="109">
        <v>1465.87</v>
      </c>
      <c r="BK27" s="109">
        <v>1421.6</v>
      </c>
      <c r="BL27" s="109">
        <v>1500.99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09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>
        <v>0</v>
      </c>
      <c r="CE27" s="109">
        <v>0</v>
      </c>
      <c r="CF27" s="109">
        <v>0</v>
      </c>
      <c r="CG27" s="109">
        <v>0</v>
      </c>
      <c r="CH27" s="109">
        <v>0</v>
      </c>
      <c r="CI27" s="109">
        <v>0</v>
      </c>
      <c r="CJ27" s="136">
        <v>0</v>
      </c>
      <c r="CK27" s="136">
        <v>0</v>
      </c>
      <c r="CL27" s="136">
        <v>0</v>
      </c>
      <c r="CM27" s="136">
        <v>0</v>
      </c>
      <c r="CN27" s="136">
        <v>0</v>
      </c>
      <c r="CO27" s="136">
        <v>0</v>
      </c>
      <c r="CP27" s="136">
        <v>0</v>
      </c>
      <c r="CQ27" s="136">
        <v>0</v>
      </c>
      <c r="CR27" s="136">
        <v>0</v>
      </c>
      <c r="CS27" s="136">
        <v>0</v>
      </c>
      <c r="CT27" s="136">
        <v>0</v>
      </c>
      <c r="CU27" s="136">
        <v>0</v>
      </c>
      <c r="CV27" s="136">
        <v>0</v>
      </c>
      <c r="CW27" s="136">
        <v>0</v>
      </c>
      <c r="CX27" s="136">
        <v>0</v>
      </c>
      <c r="CY27" s="136">
        <v>0</v>
      </c>
      <c r="CZ27" s="136">
        <v>0</v>
      </c>
      <c r="DA27" s="136">
        <v>0</v>
      </c>
      <c r="DB27" s="136">
        <v>0</v>
      </c>
      <c r="DC27" s="136">
        <v>0</v>
      </c>
      <c r="DD27" s="136">
        <v>0</v>
      </c>
      <c r="DE27" s="136">
        <v>0</v>
      </c>
      <c r="DF27" s="136">
        <v>0</v>
      </c>
      <c r="DG27" s="146">
        <v>0</v>
      </c>
    </row>
    <row r="28" spans="1:111" x14ac:dyDescent="0.35">
      <c r="A28" s="25" t="s">
        <v>82</v>
      </c>
      <c r="B28" s="29" t="s">
        <v>40</v>
      </c>
      <c r="C28" s="27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9">
        <v>0</v>
      </c>
      <c r="AF28" s="59">
        <v>0</v>
      </c>
      <c r="AG28" s="59">
        <v>0</v>
      </c>
      <c r="AH28" s="59">
        <v>0</v>
      </c>
      <c r="AI28" s="58">
        <f>0*126.0787</f>
        <v>0</v>
      </c>
      <c r="AJ28" s="58">
        <f>0*125.0004</f>
        <v>0</v>
      </c>
      <c r="AK28" s="58">
        <f>0*1253866</f>
        <v>0</v>
      </c>
      <c r="AL28" s="55">
        <f>0*128.154</f>
        <v>0</v>
      </c>
      <c r="AM28" s="55">
        <f>0*125.985</f>
        <v>0</v>
      </c>
      <c r="AN28" s="55">
        <v>0</v>
      </c>
      <c r="AO28" s="55">
        <v>0</v>
      </c>
      <c r="AP28" s="55">
        <v>0</v>
      </c>
      <c r="AQ28" s="65">
        <v>0</v>
      </c>
      <c r="AR28" s="65">
        <v>0</v>
      </c>
      <c r="AS28" s="77">
        <v>0</v>
      </c>
      <c r="AT28" s="8">
        <v>0</v>
      </c>
      <c r="AU28" s="8">
        <v>0</v>
      </c>
      <c r="AV28" s="93">
        <v>0</v>
      </c>
      <c r="AW28" s="93">
        <v>0</v>
      </c>
      <c r="AX28" s="76">
        <v>0</v>
      </c>
      <c r="AY28" s="7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5">
        <v>0</v>
      </c>
      <c r="BF28" s="45">
        <v>0</v>
      </c>
      <c r="BG28" s="45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0">
        <v>0</v>
      </c>
      <c r="BN28" s="110">
        <v>0</v>
      </c>
      <c r="BO28" s="110">
        <v>0</v>
      </c>
      <c r="BP28" s="110">
        <v>0</v>
      </c>
      <c r="BQ28" s="110">
        <v>0</v>
      </c>
      <c r="BR28" s="110">
        <v>0</v>
      </c>
      <c r="BS28" s="110">
        <v>0</v>
      </c>
      <c r="BT28" s="110">
        <v>0</v>
      </c>
      <c r="BU28" s="110">
        <v>0</v>
      </c>
      <c r="BV28" s="110">
        <v>0</v>
      </c>
      <c r="BW28" s="110">
        <v>0</v>
      </c>
      <c r="BX28" s="110">
        <v>0</v>
      </c>
      <c r="BY28" s="110">
        <v>0</v>
      </c>
      <c r="BZ28" s="110">
        <v>0</v>
      </c>
      <c r="CA28" s="110">
        <v>0</v>
      </c>
      <c r="CB28" s="110">
        <v>0</v>
      </c>
      <c r="CC28" s="110">
        <v>0</v>
      </c>
      <c r="CD28" s="110">
        <v>0</v>
      </c>
      <c r="CE28" s="110">
        <v>0</v>
      </c>
      <c r="CF28" s="110">
        <v>0</v>
      </c>
      <c r="CG28" s="110">
        <v>0</v>
      </c>
      <c r="CH28" s="110">
        <v>0</v>
      </c>
      <c r="CI28" s="110">
        <v>0</v>
      </c>
      <c r="CJ28" s="136">
        <v>0</v>
      </c>
      <c r="CK28" s="136">
        <v>0</v>
      </c>
      <c r="CL28" s="136">
        <v>0</v>
      </c>
      <c r="CM28" s="136">
        <v>0</v>
      </c>
      <c r="CN28" s="136">
        <v>0</v>
      </c>
      <c r="CO28" s="136">
        <v>0</v>
      </c>
      <c r="CP28" s="136">
        <v>0</v>
      </c>
      <c r="CQ28" s="136">
        <v>0</v>
      </c>
      <c r="CR28" s="136">
        <v>0</v>
      </c>
      <c r="CS28" s="136">
        <v>0</v>
      </c>
      <c r="CT28" s="136">
        <v>0</v>
      </c>
      <c r="CU28" s="136">
        <v>0</v>
      </c>
      <c r="CV28" s="136">
        <v>0</v>
      </c>
      <c r="CW28" s="136">
        <v>0</v>
      </c>
      <c r="CX28" s="136">
        <v>0</v>
      </c>
      <c r="CY28" s="136">
        <v>0</v>
      </c>
      <c r="CZ28" s="136">
        <v>0</v>
      </c>
      <c r="DA28" s="136">
        <v>0</v>
      </c>
      <c r="DB28" s="136">
        <v>0</v>
      </c>
      <c r="DC28" s="136">
        <v>0</v>
      </c>
      <c r="DD28" s="136">
        <v>0</v>
      </c>
      <c r="DE28" s="136">
        <v>0</v>
      </c>
      <c r="DF28" s="136">
        <v>0</v>
      </c>
      <c r="DG28" s="146">
        <v>0</v>
      </c>
    </row>
    <row r="29" spans="1:111" x14ac:dyDescent="0.35">
      <c r="A29" s="25" t="s">
        <v>83</v>
      </c>
      <c r="B29" s="29" t="s">
        <v>41</v>
      </c>
      <c r="C29" s="27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5">
        <v>0</v>
      </c>
      <c r="V29" s="55">
        <v>0</v>
      </c>
      <c r="W29" s="55">
        <v>0</v>
      </c>
      <c r="X29" s="55">
        <f>79*128.4404</f>
        <v>10146.7916</v>
      </c>
      <c r="Y29" s="55">
        <f>78.3*128.2591</f>
        <v>10042.687529999999</v>
      </c>
      <c r="Z29" s="55">
        <f>78.3*128.1053</f>
        <v>10030.644989999999</v>
      </c>
      <c r="AA29" s="57">
        <f>79.05*128.6672</f>
        <v>10171.142159999999</v>
      </c>
      <c r="AB29" s="55">
        <f>79*129.4011</f>
        <v>10222.686900000001</v>
      </c>
      <c r="AC29" s="55">
        <f>79*130.1443</f>
        <v>10281.399699999998</v>
      </c>
      <c r="AD29" s="55">
        <v>0</v>
      </c>
      <c r="AE29" s="59">
        <v>0</v>
      </c>
      <c r="AF29" s="59">
        <v>0</v>
      </c>
      <c r="AG29" s="59">
        <v>0</v>
      </c>
      <c r="AH29" s="59">
        <v>0</v>
      </c>
      <c r="AI29" s="58">
        <f>0*126.0787</f>
        <v>0</v>
      </c>
      <c r="AJ29" s="58">
        <f>0*125.0004</f>
        <v>0</v>
      </c>
      <c r="AK29" s="58">
        <f>0*125.004</f>
        <v>0</v>
      </c>
      <c r="AL29" s="55">
        <f>0*128.154</f>
        <v>0</v>
      </c>
      <c r="AM29" s="55">
        <f>99.3*125.985</f>
        <v>12510.3105</v>
      </c>
      <c r="AN29" s="55">
        <v>0</v>
      </c>
      <c r="AO29" s="55">
        <v>0</v>
      </c>
      <c r="AP29" s="45">
        <v>11500.556759999999</v>
      </c>
      <c r="AQ29" s="65">
        <v>11946.09906</v>
      </c>
      <c r="AR29" s="65">
        <v>12132.068759999998</v>
      </c>
      <c r="AS29" s="8">
        <v>11912.697720000002</v>
      </c>
      <c r="AT29" s="8">
        <v>11342.07</v>
      </c>
      <c r="AU29" s="8">
        <v>11271.28</v>
      </c>
      <c r="AV29" s="93">
        <v>11264.57</v>
      </c>
      <c r="AW29" s="93">
        <v>12004.02</v>
      </c>
      <c r="AX29" s="76">
        <v>11360.72</v>
      </c>
      <c r="AY29" s="76">
        <v>11154.35</v>
      </c>
      <c r="AZ29" s="46">
        <v>11903.54</v>
      </c>
      <c r="BA29" s="46">
        <v>11714.79</v>
      </c>
      <c r="BB29" s="46">
        <v>0</v>
      </c>
      <c r="BC29" s="46">
        <v>0</v>
      </c>
      <c r="BD29" s="46">
        <v>0</v>
      </c>
      <c r="BE29" s="8">
        <v>0</v>
      </c>
      <c r="BF29" s="8">
        <v>0</v>
      </c>
      <c r="BG29" s="8">
        <v>0</v>
      </c>
      <c r="BH29" s="109">
        <v>0</v>
      </c>
      <c r="BI29" s="109">
        <v>0</v>
      </c>
      <c r="BJ29" s="109">
        <v>0</v>
      </c>
      <c r="BK29" s="109">
        <v>0</v>
      </c>
      <c r="BL29" s="109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176.14</v>
      </c>
      <c r="BT29" s="109">
        <v>171.18</v>
      </c>
      <c r="BU29" s="109">
        <v>179.54</v>
      </c>
      <c r="BV29" s="109">
        <v>182.33</v>
      </c>
      <c r="BW29" s="109">
        <v>168.57</v>
      </c>
      <c r="BX29" s="109">
        <v>169.74</v>
      </c>
      <c r="BY29" s="109">
        <v>70.2</v>
      </c>
      <c r="BZ29" s="109">
        <v>70.099999999999994</v>
      </c>
      <c r="CA29" s="109">
        <v>77.290000000000006</v>
      </c>
      <c r="CB29" s="109">
        <v>71.483000000000004</v>
      </c>
      <c r="CC29" s="109">
        <v>73.622050000000002</v>
      </c>
      <c r="CD29" s="109">
        <v>77.829350000000005</v>
      </c>
      <c r="CE29" s="109">
        <v>0</v>
      </c>
      <c r="CF29" s="109">
        <v>0</v>
      </c>
      <c r="CG29" s="109">
        <v>0</v>
      </c>
      <c r="CH29" s="109">
        <v>0</v>
      </c>
      <c r="CI29" s="109">
        <v>0</v>
      </c>
      <c r="CJ29" s="136">
        <v>0</v>
      </c>
      <c r="CK29" s="136">
        <v>0</v>
      </c>
      <c r="CL29" s="136">
        <v>0</v>
      </c>
      <c r="CM29" s="136">
        <v>0</v>
      </c>
      <c r="CN29" s="136">
        <v>0</v>
      </c>
      <c r="CO29" s="136">
        <v>0</v>
      </c>
      <c r="CP29" s="136">
        <v>0</v>
      </c>
      <c r="CQ29" s="136">
        <v>0</v>
      </c>
      <c r="CR29" s="136">
        <v>0</v>
      </c>
      <c r="CS29" s="136">
        <v>0</v>
      </c>
      <c r="CT29" s="136">
        <v>0</v>
      </c>
      <c r="CU29" s="136">
        <v>0</v>
      </c>
      <c r="CV29" s="136">
        <v>0</v>
      </c>
      <c r="CW29" s="136">
        <v>0</v>
      </c>
      <c r="CX29" s="136">
        <v>0</v>
      </c>
      <c r="CY29" s="136">
        <v>0</v>
      </c>
      <c r="CZ29" s="136">
        <v>0</v>
      </c>
      <c r="DA29" s="136">
        <v>0</v>
      </c>
      <c r="DB29" s="136">
        <v>0</v>
      </c>
      <c r="DC29" s="136">
        <v>0</v>
      </c>
      <c r="DD29" s="136">
        <v>0</v>
      </c>
      <c r="DE29" s="136">
        <v>0</v>
      </c>
      <c r="DF29" s="136">
        <v>0</v>
      </c>
      <c r="DG29" s="146">
        <v>0</v>
      </c>
    </row>
    <row r="30" spans="1:111" x14ac:dyDescent="0.35">
      <c r="A30" s="25" t="s">
        <v>84</v>
      </c>
      <c r="B30" s="30" t="s">
        <v>32</v>
      </c>
      <c r="C30" s="27" t="s">
        <v>60</v>
      </c>
      <c r="D30" s="5">
        <f t="shared" ref="D30:O30" si="134">SUM(D31:D35)</f>
        <v>911095.67858999991</v>
      </c>
      <c r="E30" s="3">
        <f t="shared" si="134"/>
        <v>913429.62402999995</v>
      </c>
      <c r="F30" s="3">
        <f t="shared" si="134"/>
        <v>927606.58608000004</v>
      </c>
      <c r="G30" s="3">
        <f t="shared" si="134"/>
        <v>1168264.71474</v>
      </c>
      <c r="H30" s="3">
        <f t="shared" si="134"/>
        <v>1174545.9198000003</v>
      </c>
      <c r="I30" s="3">
        <f t="shared" si="134"/>
        <v>1188576.6820200002</v>
      </c>
      <c r="J30" s="3">
        <f t="shared" si="134"/>
        <v>1196677.30323</v>
      </c>
      <c r="K30" s="3">
        <f t="shared" si="134"/>
        <v>1194966.4684000001</v>
      </c>
      <c r="L30" s="3">
        <f t="shared" si="134"/>
        <v>1202656.8539999998</v>
      </c>
      <c r="M30" s="3">
        <f t="shared" si="134"/>
        <v>1212846.6940100002</v>
      </c>
      <c r="N30" s="3">
        <f t="shared" si="134"/>
        <v>1209809.5677</v>
      </c>
      <c r="O30" s="3">
        <f t="shared" si="134"/>
        <v>1248856.8093000003</v>
      </c>
      <c r="P30" s="63">
        <f t="shared" ref="P30:W30" si="135">SUM(P31:P35)</f>
        <v>1255863.93475</v>
      </c>
      <c r="Q30" s="63">
        <f t="shared" si="135"/>
        <v>1272885.0416700002</v>
      </c>
      <c r="R30" s="63">
        <f t="shared" si="135"/>
        <v>1286293.3479499999</v>
      </c>
      <c r="S30" s="63">
        <f t="shared" si="135"/>
        <v>1282616.7337199999</v>
      </c>
      <c r="T30" s="63">
        <f t="shared" si="135"/>
        <v>1303423.0331700002</v>
      </c>
      <c r="U30" s="56">
        <f t="shared" si="135"/>
        <v>1314207.2102399999</v>
      </c>
      <c r="V30" s="56">
        <f t="shared" si="135"/>
        <v>1316420.4969600001</v>
      </c>
      <c r="W30" s="56">
        <f t="shared" si="135"/>
        <v>1309785.5767299999</v>
      </c>
      <c r="X30" s="56">
        <f t="shared" ref="X30:Z30" si="136">SUM(X31:X35)</f>
        <v>1298660.8844000003</v>
      </c>
      <c r="Y30" s="56">
        <f t="shared" si="136"/>
        <v>1296827.7600999998</v>
      </c>
      <c r="Z30" s="56">
        <f t="shared" si="136"/>
        <v>1290148.4763000002</v>
      </c>
      <c r="AA30" s="56">
        <f t="shared" ref="AA30" si="137">SUM(AA31:AA35)</f>
        <v>1294195.2998512001</v>
      </c>
      <c r="AB30" s="56">
        <f t="shared" ref="AB30:AG30" si="138">SUM(AB31:AB35)</f>
        <v>1230006.6279180001</v>
      </c>
      <c r="AC30" s="56">
        <f t="shared" si="138"/>
        <v>1237464.0621199999</v>
      </c>
      <c r="AD30" s="56">
        <f t="shared" si="138"/>
        <v>1206916.4572640001</v>
      </c>
      <c r="AE30" s="56">
        <f t="shared" si="138"/>
        <v>1210425.41707</v>
      </c>
      <c r="AF30" s="56">
        <f t="shared" si="138"/>
        <v>1314823.9585600002</v>
      </c>
      <c r="AG30" s="56">
        <f t="shared" si="138"/>
        <v>1314767.1459999999</v>
      </c>
      <c r="AH30" s="56">
        <f t="shared" ref="AH30:AM30" si="139">SUM(AH31:AH35)</f>
        <v>1285545.7652799999</v>
      </c>
      <c r="AI30" s="56">
        <f t="shared" si="139"/>
        <v>1270570.7071199999</v>
      </c>
      <c r="AJ30" s="56">
        <f t="shared" si="139"/>
        <v>1256129.0195999998</v>
      </c>
      <c r="AK30" s="56">
        <f t="shared" si="139"/>
        <v>1261013.0362</v>
      </c>
      <c r="AL30" s="56">
        <f t="shared" si="139"/>
        <v>1286127.9108599997</v>
      </c>
      <c r="AM30" s="56">
        <f t="shared" si="139"/>
        <v>1252794.8399999999</v>
      </c>
      <c r="AN30" s="56">
        <v>1257296.47</v>
      </c>
      <c r="AO30" s="66">
        <v>1286072.42775</v>
      </c>
      <c r="AP30" s="67">
        <f>SUM(AP31:AP35)</f>
        <v>1277895.4644500001</v>
      </c>
      <c r="AQ30" s="67">
        <f>SUM(AQ31:AQ35)</f>
        <v>1326504.5899999999</v>
      </c>
      <c r="AR30" s="67">
        <v>1348241.4780599996</v>
      </c>
      <c r="AS30" s="78">
        <f t="shared" ref="AS30:AX30" si="140">SUM(AS31:AS35)</f>
        <v>1323295.4185000001</v>
      </c>
      <c r="AT30" s="67">
        <f t="shared" si="140"/>
        <v>1259368.43</v>
      </c>
      <c r="AU30" s="67">
        <f t="shared" si="140"/>
        <v>1249770.3591899998</v>
      </c>
      <c r="AV30" s="36">
        <f t="shared" si="140"/>
        <v>1253712.02</v>
      </c>
      <c r="AW30" s="36">
        <f t="shared" si="140"/>
        <v>1332776.94</v>
      </c>
      <c r="AX30" s="78">
        <f t="shared" si="140"/>
        <v>1258747.6599999999</v>
      </c>
      <c r="AY30" s="78">
        <f t="shared" ref="AY30:BF30" si="141">SUM(AY31:AY35)</f>
        <v>1234402.54</v>
      </c>
      <c r="AZ30" s="67">
        <f t="shared" si="141"/>
        <v>1317311.8799999999</v>
      </c>
      <c r="BA30" s="67">
        <f t="shared" si="141"/>
        <v>1292088.71</v>
      </c>
      <c r="BB30" s="67">
        <f t="shared" si="141"/>
        <v>1275188.73</v>
      </c>
      <c r="BC30" s="67">
        <f t="shared" si="141"/>
        <v>1323201.95</v>
      </c>
      <c r="BD30" s="67">
        <f t="shared" si="141"/>
        <v>1329771.19</v>
      </c>
      <c r="BE30" s="66">
        <f t="shared" si="141"/>
        <v>1243869.2</v>
      </c>
      <c r="BF30" s="66">
        <f t="shared" si="141"/>
        <v>1287790.48</v>
      </c>
      <c r="BG30" s="66">
        <f t="shared" ref="BG30" si="142">SUM(BG31:BG35)</f>
        <v>1249602.57</v>
      </c>
      <c r="BH30" s="112">
        <f>SUM(BH31:BH35)</f>
        <v>1221022.8</v>
      </c>
      <c r="BI30" s="112">
        <f t="shared" ref="BI30:BJ30" si="143">SUM(BI31:BI35)</f>
        <v>1293641.42</v>
      </c>
      <c r="BJ30" s="112">
        <f t="shared" si="143"/>
        <v>1254554.6099999999</v>
      </c>
      <c r="BK30" s="112">
        <f t="shared" ref="BK30:BL30" si="144">SUM(BK31:BK35)</f>
        <v>1242010.21</v>
      </c>
      <c r="BL30" s="112">
        <f t="shared" si="144"/>
        <v>1314012.03</v>
      </c>
      <c r="BM30" s="112">
        <f t="shared" ref="BM30" si="145">SUM(BM31:BM35)</f>
        <v>1318235.6799532</v>
      </c>
      <c r="BN30" s="112">
        <f t="shared" ref="BN30:BO30" si="146">SUM(BN31:BN35)</f>
        <v>1282907.7</v>
      </c>
      <c r="BO30" s="112">
        <f t="shared" si="146"/>
        <v>1349356.3900000001</v>
      </c>
      <c r="BP30" s="112">
        <f t="shared" ref="BP30:BU30" si="147">SUM(BP31:BP35)</f>
        <v>1357013.9019199999</v>
      </c>
      <c r="BQ30" s="112">
        <f t="shared" si="147"/>
        <v>1291590.52</v>
      </c>
      <c r="BR30" s="112">
        <f t="shared" si="147"/>
        <v>1303248.8900000001</v>
      </c>
      <c r="BS30" s="112">
        <f t="shared" si="147"/>
        <v>1346823.93</v>
      </c>
      <c r="BT30" s="112">
        <f t="shared" si="147"/>
        <v>1307085.55</v>
      </c>
      <c r="BU30" s="112">
        <f t="shared" si="147"/>
        <v>1363407.4</v>
      </c>
      <c r="BV30" s="112">
        <f t="shared" ref="BV30:BW30" si="148">SUM(BV31:BV35)</f>
        <v>1381321.47</v>
      </c>
      <c r="BW30" s="112">
        <f t="shared" si="148"/>
        <v>1355173.4347600001</v>
      </c>
      <c r="BX30" s="112">
        <f t="shared" ref="BX30:BY30" si="149">SUM(BX31:BX35)</f>
        <v>1433476.26</v>
      </c>
      <c r="BY30" s="112">
        <f t="shared" si="149"/>
        <v>1385073.25</v>
      </c>
      <c r="BZ30" s="112">
        <f t="shared" ref="BZ30:CA30" si="150">SUM(BZ31:BZ35)</f>
        <v>1377700.5</v>
      </c>
      <c r="CA30" s="112">
        <f t="shared" si="150"/>
        <v>1426336.17</v>
      </c>
      <c r="CB30" s="112">
        <f t="shared" ref="CB30:CC30" si="151">SUM(CB31:CB35)</f>
        <v>1400108.6809999999</v>
      </c>
      <c r="CC30" s="112">
        <f t="shared" si="151"/>
        <v>1351362.1765699999</v>
      </c>
      <c r="CD30" s="112">
        <f t="shared" ref="CD30:CE30" si="152">SUM(CD31:CD35)</f>
        <v>1425257.7548099998</v>
      </c>
      <c r="CE30" s="112">
        <f t="shared" si="152"/>
        <v>1430619.9500000002</v>
      </c>
      <c r="CF30" s="112">
        <f t="shared" ref="CF30:CG30" si="153">SUM(CF31:CF35)</f>
        <v>1420356.1075200001</v>
      </c>
      <c r="CG30" s="112">
        <f t="shared" si="153"/>
        <v>1399127.7988700001</v>
      </c>
      <c r="CH30" s="112">
        <f t="shared" ref="CH30:CJ30" si="154">SUM(CH31:CH35)</f>
        <v>1407425.12</v>
      </c>
      <c r="CI30" s="112">
        <f t="shared" si="154"/>
        <v>1388538.9589999998</v>
      </c>
      <c r="CJ30" s="135">
        <f t="shared" si="154"/>
        <v>1410683.409952</v>
      </c>
      <c r="CK30" s="135">
        <f t="shared" ref="CK30:CL30" si="155">SUM(CK31:CK35)</f>
        <v>1408564.26</v>
      </c>
      <c r="CL30" s="135">
        <f t="shared" si="155"/>
        <v>1378341.1998399999</v>
      </c>
      <c r="CM30" s="135">
        <f t="shared" ref="CM30:CN30" si="156">SUM(CM31:CM35)</f>
        <v>1389125.6718900001</v>
      </c>
      <c r="CN30" s="135">
        <f t="shared" si="156"/>
        <v>1374820.93</v>
      </c>
      <c r="CO30" s="135">
        <f t="shared" ref="CO30:CP30" si="157">SUM(CO31:CO35)</f>
        <v>1382120.96</v>
      </c>
      <c r="CP30" s="135">
        <f t="shared" si="157"/>
        <v>1392668.93</v>
      </c>
      <c r="CQ30" s="135">
        <f t="shared" ref="CQ30:CR30" si="158">SUM(CQ31:CQ35)</f>
        <v>1396267.5487199998</v>
      </c>
      <c r="CR30" s="135">
        <f t="shared" si="158"/>
        <v>1369574.3199999998</v>
      </c>
      <c r="CS30" s="135">
        <f t="shared" ref="CS30:CT30" si="159">SUM(CS31:CS35)</f>
        <v>1386242.657355</v>
      </c>
      <c r="CT30" s="135">
        <f t="shared" si="159"/>
        <v>1377933.68</v>
      </c>
      <c r="CU30" s="135">
        <f t="shared" ref="CU30:CV30" si="160">SUM(CU31:CU35)</f>
        <v>1352345.5899999999</v>
      </c>
      <c r="CV30" s="135">
        <f t="shared" si="160"/>
        <v>1373112.1062540002</v>
      </c>
      <c r="CW30" s="135">
        <f t="shared" ref="CW30" si="161">SUM(CW31:CW35)</f>
        <v>1391813.44</v>
      </c>
      <c r="CX30" s="135">
        <f t="shared" ref="CX30:DC30" si="162">SUM(CX31:CX35)</f>
        <v>1381030.17</v>
      </c>
      <c r="CY30" s="135">
        <f t="shared" si="162"/>
        <v>1363246.7494815723</v>
      </c>
      <c r="CZ30" s="135">
        <f t="shared" si="162"/>
        <v>1443972.0667382497</v>
      </c>
      <c r="DA30" s="135">
        <f t="shared" si="162"/>
        <v>1438023.1312798862</v>
      </c>
      <c r="DB30" s="135">
        <f t="shared" si="162"/>
        <v>1439909.367444</v>
      </c>
      <c r="DC30" s="135">
        <f t="shared" si="162"/>
        <v>1417421.1967409998</v>
      </c>
      <c r="DD30" s="135">
        <f t="shared" ref="DD30:DE30" si="163">SUM(DD31:DD35)</f>
        <v>1414523.6075519999</v>
      </c>
      <c r="DE30" s="135">
        <f t="shared" si="163"/>
        <v>1419590.078214</v>
      </c>
      <c r="DF30" s="135">
        <f t="shared" ref="DF30:DG30" si="164">SUM(DF31:DF35)</f>
        <v>1408937.2533729998</v>
      </c>
      <c r="DG30" s="145">
        <f t="shared" si="164"/>
        <v>1431110.29</v>
      </c>
    </row>
    <row r="31" spans="1:111" x14ac:dyDescent="0.35">
      <c r="A31" s="25" t="s">
        <v>85</v>
      </c>
      <c r="B31" s="29" t="s">
        <v>37</v>
      </c>
      <c r="C31" s="27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54">
        <f>746.2*123.1541-P25</f>
        <v>88535.482490000009</v>
      </c>
      <c r="Q31" s="54">
        <f>735.3*125.4111-Q25</f>
        <v>88013.509979999988</v>
      </c>
      <c r="R31" s="54">
        <f>738.1*126.3835-R25</f>
        <v>89075.090799999991</v>
      </c>
      <c r="S31" s="54">
        <f>714.4*126.5582-S25</f>
        <v>86211.44584</v>
      </c>
      <c r="T31" s="54">
        <f>713.7*127.5727-T25</f>
        <v>86749.436000000016</v>
      </c>
      <c r="U31" s="55">
        <f>706.4*128.2704-U25</f>
        <v>86672.309279999987</v>
      </c>
      <c r="V31" s="55">
        <f>707.4*129.1064-V25</f>
        <v>87818.173280000003</v>
      </c>
      <c r="W31" s="55">
        <f>705.7*129.0391-W25</f>
        <v>87423.990250000003</v>
      </c>
      <c r="X31" s="55">
        <f>703.3*128.4404-X25</f>
        <v>86684.425960000008</v>
      </c>
      <c r="Y31" s="55">
        <f>691.9*128.2591-Y25</f>
        <v>85292.301499999987</v>
      </c>
      <c r="Z31" s="55">
        <f>689.8*128.1053-Z25</f>
        <v>85023.487609999982</v>
      </c>
      <c r="AA31" s="55">
        <f>681.4*128.6672-AA25</f>
        <v>84313.042816000001</v>
      </c>
      <c r="AB31" s="55">
        <f>687.4*129.4011-AB25</f>
        <v>85570.359408000004</v>
      </c>
      <c r="AC31" s="55">
        <f>698.3*130.1443-AC25</f>
        <v>87548.070609999981</v>
      </c>
      <c r="AD31" s="55">
        <f>703.3*128.6228-AD25</f>
        <v>87206.106599999999</v>
      </c>
      <c r="AE31" s="55">
        <f>687.36*128.2195-AE25</f>
        <v>84905.670704999997</v>
      </c>
      <c r="AF31" s="55">
        <f>703.3*129.6466-AF25</f>
        <v>87913.359459999992</v>
      </c>
      <c r="AG31" s="55">
        <f>691.8*129.91-AG25</f>
        <v>86598.005999999994</v>
      </c>
      <c r="AH31" s="55">
        <f>689.5*127.2868-AH25</f>
        <v>84429.334440000006</v>
      </c>
      <c r="AI31" s="55">
        <f>692.3*126.0787-AI25</f>
        <v>83375.844309999986</v>
      </c>
      <c r="AJ31" s="55">
        <f>687.9*125.0004-AJ25</f>
        <v>82187.762999999992</v>
      </c>
      <c r="AK31" s="55">
        <f>694.2*125.3866-AK25</f>
        <v>83595.246220000001</v>
      </c>
      <c r="AL31" s="55">
        <f>691.5*128.154-AL25</f>
        <v>84940.4712</v>
      </c>
      <c r="AM31" s="55">
        <f>685.6*125.985-AM25</f>
        <v>82809.940500000012</v>
      </c>
      <c r="AN31" s="55">
        <v>83363.600000000006</v>
      </c>
      <c r="AO31" s="8">
        <v>85247.016250000001</v>
      </c>
      <c r="AP31" s="45">
        <v>88601.228099999993</v>
      </c>
      <c r="AQ31" s="69">
        <v>87970.42</v>
      </c>
      <c r="AR31" s="69">
        <v>93026.282339999976</v>
      </c>
      <c r="AS31" s="76">
        <v>91600.811720000012</v>
      </c>
      <c r="AT31" s="45">
        <v>88177.52</v>
      </c>
      <c r="AU31" s="45">
        <v>88662.3</v>
      </c>
      <c r="AV31" s="9">
        <v>89273.62</v>
      </c>
      <c r="AW31" s="9">
        <v>93450.34</v>
      </c>
      <c r="AX31" s="76">
        <v>87820.2</v>
      </c>
      <c r="AY31" s="76">
        <v>85339.66</v>
      </c>
      <c r="AZ31" s="46">
        <v>92920.51</v>
      </c>
      <c r="BA31" s="46">
        <v>91194.76</v>
      </c>
      <c r="BB31" s="46">
        <v>92193.37</v>
      </c>
      <c r="BC31" s="46">
        <v>91132.81</v>
      </c>
      <c r="BD31" s="46">
        <v>90866.32</v>
      </c>
      <c r="BE31" s="8">
        <v>103545.39</v>
      </c>
      <c r="BF31" s="8">
        <v>107192.95</v>
      </c>
      <c r="BG31" s="8">
        <v>107836.52</v>
      </c>
      <c r="BH31" s="109">
        <v>101163.4</v>
      </c>
      <c r="BI31" s="109">
        <v>102818.48</v>
      </c>
      <c r="BJ31" s="109">
        <v>100884.96</v>
      </c>
      <c r="BK31" s="109">
        <v>98040.54</v>
      </c>
      <c r="BL31" s="109">
        <v>105198.16</v>
      </c>
      <c r="BM31" s="109">
        <v>105518.91211120001</v>
      </c>
      <c r="BN31" s="109">
        <v>102810.15</v>
      </c>
      <c r="BO31" s="109">
        <v>102873.59</v>
      </c>
      <c r="BP31" s="109">
        <v>103934.38</v>
      </c>
      <c r="BQ31" s="109">
        <v>98720.2</v>
      </c>
      <c r="BR31" s="109">
        <v>102466.3</v>
      </c>
      <c r="BS31" s="109">
        <v>103877.34</v>
      </c>
      <c r="BT31" s="109">
        <v>102711.78</v>
      </c>
      <c r="BU31" s="109">
        <v>102810.99</v>
      </c>
      <c r="BV31" s="109">
        <v>104048.85</v>
      </c>
      <c r="BW31" s="109">
        <v>98951.172377999988</v>
      </c>
      <c r="BX31" s="109">
        <v>104455.58</v>
      </c>
      <c r="BY31" s="109">
        <v>101163.85</v>
      </c>
      <c r="BZ31" s="109">
        <v>105067.93</v>
      </c>
      <c r="CA31" s="109">
        <v>104192.24</v>
      </c>
      <c r="CB31" s="109">
        <v>102377.015</v>
      </c>
      <c r="CC31" s="109">
        <v>98476.85407999999</v>
      </c>
      <c r="CD31" s="109">
        <v>103964.44573000001</v>
      </c>
      <c r="CE31" s="109">
        <v>104139.94</v>
      </c>
      <c r="CF31" s="109">
        <v>108949.17949999998</v>
      </c>
      <c r="CG31" s="109">
        <v>107726.69950999999</v>
      </c>
      <c r="CH31" s="109">
        <v>108266.94</v>
      </c>
      <c r="CI31" s="109">
        <v>106074.43700000001</v>
      </c>
      <c r="CJ31" s="136">
        <v>106186.03</v>
      </c>
      <c r="CK31" s="136">
        <v>105946.27</v>
      </c>
      <c r="CL31" s="136">
        <v>107172.72412</v>
      </c>
      <c r="CM31" s="136">
        <v>103234.729488</v>
      </c>
      <c r="CN31" s="136">
        <v>109808.36</v>
      </c>
      <c r="CO31" s="136">
        <v>109420.29</v>
      </c>
      <c r="CP31" s="136">
        <v>110320.82</v>
      </c>
      <c r="CQ31" s="136">
        <v>110751.15788</v>
      </c>
      <c r="CR31" s="136">
        <v>108802.4</v>
      </c>
      <c r="CS31" s="136">
        <v>110976.09448999999</v>
      </c>
      <c r="CT31" s="136">
        <v>110286.71</v>
      </c>
      <c r="CU31" s="136">
        <v>107671.83</v>
      </c>
      <c r="CV31" s="136">
        <v>110753.02224000001</v>
      </c>
      <c r="CW31" s="136">
        <v>112332.6</v>
      </c>
      <c r="CX31" s="136">
        <v>115443.28</v>
      </c>
      <c r="CY31" s="136">
        <v>110964.58694657251</v>
      </c>
      <c r="CZ31" s="136">
        <v>110950.81182506018</v>
      </c>
      <c r="DA31" s="136">
        <v>110083.02936951601</v>
      </c>
      <c r="DB31" s="136">
        <v>110467.750722</v>
      </c>
      <c r="DC31" s="136">
        <v>109953.029241</v>
      </c>
      <c r="DD31" s="136">
        <v>109663.046592</v>
      </c>
      <c r="DE31" s="136">
        <v>105461.573294</v>
      </c>
      <c r="DF31" s="136">
        <v>105353.71861299999</v>
      </c>
      <c r="DG31" s="146">
        <v>103082.61</v>
      </c>
    </row>
    <row r="32" spans="1:111" x14ac:dyDescent="0.35">
      <c r="A32" s="25" t="s">
        <v>86</v>
      </c>
      <c r="B32" s="29" t="s">
        <v>38</v>
      </c>
      <c r="C32" s="27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54">
        <f>3514.7*123.1541-P26</f>
        <v>431556.59722</v>
      </c>
      <c r="Q32" s="54">
        <f>3507.4*125.4111-Q26</f>
        <v>438336.87672</v>
      </c>
      <c r="R32" s="54">
        <f>3555.7*126.3835-R26</f>
        <v>447852.57059999998</v>
      </c>
      <c r="S32" s="54">
        <f>3547.4*126.5582-S26</f>
        <v>447547.76266000001</v>
      </c>
      <c r="T32" s="54">
        <f>3667.8*127.5727-T26</f>
        <v>466495.09209000005</v>
      </c>
      <c r="U32" s="55">
        <f>3699.9*128.2704-U26</f>
        <v>472727.73215999996</v>
      </c>
      <c r="V32" s="55">
        <f>3666.3*129.1064-V26</f>
        <v>472051.73032000003</v>
      </c>
      <c r="W32" s="55">
        <f>3646.3*129.0391-W26</f>
        <v>469186.16759999999</v>
      </c>
      <c r="X32" s="55">
        <f>3703.8*128.4404-X26</f>
        <v>474407.4614400001</v>
      </c>
      <c r="Y32" s="55">
        <f>3710.2*128.2591-Y26</f>
        <v>474558.66999999993</v>
      </c>
      <c r="Z32" s="55">
        <f>3670*128.1053-Z26</f>
        <v>469249.71389999997</v>
      </c>
      <c r="AA32" s="55">
        <f>3671.87*128.6672-AA26</f>
        <v>471899.82272</v>
      </c>
      <c r="AB32" s="55">
        <f>3113*129.4011-AB26</f>
        <v>402424.48089000001</v>
      </c>
      <c r="AC32" s="55">
        <f>3120.7*130.1443-AC26</f>
        <v>405698.82638999994</v>
      </c>
      <c r="AD32" s="60">
        <f>3106.7*128.6228-AD26</f>
        <v>399152.56278400001</v>
      </c>
      <c r="AE32" s="60">
        <f>3183.36*128.2195-AE26</f>
        <v>407730.31683000003</v>
      </c>
      <c r="AF32" s="60">
        <f>3158.2*129.6466-AF26</f>
        <v>407219.9706</v>
      </c>
      <c r="AG32" s="60">
        <f>3152*129.91-AG26</f>
        <v>407436.73300000001</v>
      </c>
      <c r="AH32" s="60">
        <f>3141.6*127.2868-AH26</f>
        <v>397885.80811999994</v>
      </c>
      <c r="AI32" s="60">
        <f>3132*126.0787-AI26</f>
        <v>392886.44493999996</v>
      </c>
      <c r="AJ32" s="60">
        <f>3121.2*125.0004-AJ26</f>
        <v>388176.24215999997</v>
      </c>
      <c r="AK32" s="60">
        <f>3127.5*125.3866-AK26</f>
        <v>389613.78217999998</v>
      </c>
      <c r="AL32" s="55">
        <f>3104.1*128.154-AL26</f>
        <v>396111.19859999995</v>
      </c>
      <c r="AM32" s="60">
        <f>3114.8*125.985-AM26</f>
        <v>390855.86400000006</v>
      </c>
      <c r="AN32" s="60">
        <v>388294.9</v>
      </c>
      <c r="AO32" s="8">
        <v>400769.69349999999</v>
      </c>
      <c r="AP32" s="45">
        <v>400739.07511000003</v>
      </c>
      <c r="AQ32" s="69">
        <v>423449.93</v>
      </c>
      <c r="AR32" s="69">
        <v>427400.95295999991</v>
      </c>
      <c r="AS32" s="8">
        <v>418767.79230000003</v>
      </c>
      <c r="AT32" s="45">
        <v>397461.12</v>
      </c>
      <c r="AU32" s="45">
        <v>393676.96</v>
      </c>
      <c r="AV32" s="8">
        <v>398060.74</v>
      </c>
      <c r="AW32" s="8">
        <v>423679.3</v>
      </c>
      <c r="AX32" s="76">
        <v>398926.3</v>
      </c>
      <c r="AY32" s="76">
        <v>391199.13</v>
      </c>
      <c r="AZ32" s="46">
        <v>415638.78</v>
      </c>
      <c r="BA32" s="46">
        <v>409340.42</v>
      </c>
      <c r="BB32" s="46">
        <v>402654.62</v>
      </c>
      <c r="BC32" s="46">
        <v>419429.54</v>
      </c>
      <c r="BD32" s="46">
        <v>419923.83</v>
      </c>
      <c r="BE32" s="45">
        <v>409964.58</v>
      </c>
      <c r="BF32" s="45">
        <v>423422.98</v>
      </c>
      <c r="BG32" s="45">
        <v>407951.12</v>
      </c>
      <c r="BH32" s="110">
        <v>403589.09</v>
      </c>
      <c r="BI32" s="110">
        <v>427808.04</v>
      </c>
      <c r="BJ32" s="110">
        <v>413458.46</v>
      </c>
      <c r="BK32" s="110">
        <v>413350.82</v>
      </c>
      <c r="BL32" s="110">
        <v>437389.32</v>
      </c>
      <c r="BM32" s="110">
        <v>438401.35784200003</v>
      </c>
      <c r="BN32" s="110">
        <v>425367.72</v>
      </c>
      <c r="BO32" s="110">
        <v>448645.75</v>
      </c>
      <c r="BP32" s="110">
        <v>448342.02191999991</v>
      </c>
      <c r="BQ32" s="110">
        <v>426854.40000000002</v>
      </c>
      <c r="BR32" s="110">
        <v>434766.67</v>
      </c>
      <c r="BS32" s="110">
        <v>451999.26</v>
      </c>
      <c r="BT32" s="110">
        <v>436549.65</v>
      </c>
      <c r="BU32" s="110">
        <v>455290.01</v>
      </c>
      <c r="BV32" s="110">
        <v>459437.68</v>
      </c>
      <c r="BW32" s="110">
        <v>467226.42793699994</v>
      </c>
      <c r="BX32" s="110">
        <v>498428.08</v>
      </c>
      <c r="BY32" s="110">
        <v>479993.22</v>
      </c>
      <c r="BZ32" s="109">
        <v>474099.99</v>
      </c>
      <c r="CA32" s="109">
        <v>490971.17</v>
      </c>
      <c r="CB32" s="109">
        <v>479979.424</v>
      </c>
      <c r="CC32" s="109">
        <v>464142.85201999999</v>
      </c>
      <c r="CD32" s="109">
        <v>487476.35079</v>
      </c>
      <c r="CE32" s="109">
        <v>487218.9</v>
      </c>
      <c r="CF32" s="109">
        <v>481563.12777999992</v>
      </c>
      <c r="CG32" s="109">
        <v>483725.70610999997</v>
      </c>
      <c r="CH32" s="109">
        <v>498964.04</v>
      </c>
      <c r="CI32" s="109">
        <v>491644.20699999999</v>
      </c>
      <c r="CJ32" s="136">
        <v>508146.26295200002</v>
      </c>
      <c r="CK32" s="136">
        <v>506846.44</v>
      </c>
      <c r="CL32" s="136">
        <v>492677.16849999997</v>
      </c>
      <c r="CM32" s="136">
        <v>496698.06357600004</v>
      </c>
      <c r="CN32" s="136">
        <v>486295.25</v>
      </c>
      <c r="CO32" s="136">
        <v>487729.55</v>
      </c>
      <c r="CP32" s="136">
        <v>490620.17</v>
      </c>
      <c r="CQ32" s="136">
        <v>490820.16948799998</v>
      </c>
      <c r="CR32" s="136">
        <v>480647.33</v>
      </c>
      <c r="CS32" s="136">
        <v>484618.52266000002</v>
      </c>
      <c r="CT32" s="136">
        <v>479019.37</v>
      </c>
      <c r="CU32" s="136">
        <v>470395.51</v>
      </c>
      <c r="CV32" s="136">
        <v>475768.85907600005</v>
      </c>
      <c r="CW32" s="136">
        <v>479978.87</v>
      </c>
      <c r="CX32" s="136">
        <v>473202.72</v>
      </c>
      <c r="CY32" s="136">
        <v>473489.35557700001</v>
      </c>
      <c r="CZ32" s="136">
        <v>555275.53776968957</v>
      </c>
      <c r="DA32" s="136">
        <v>549879.84746037005</v>
      </c>
      <c r="DB32" s="136">
        <v>548400.89053199999</v>
      </c>
      <c r="DC32" s="136">
        <v>534368.83559399995</v>
      </c>
      <c r="DD32" s="136">
        <v>533872.30617599993</v>
      </c>
      <c r="DE32" s="136">
        <v>535838.89328199998</v>
      </c>
      <c r="DF32" s="136">
        <v>523499.75716999994</v>
      </c>
      <c r="DG32" s="146">
        <v>553813.6</v>
      </c>
    </row>
    <row r="33" spans="1:111" x14ac:dyDescent="0.35">
      <c r="A33" s="25" t="s">
        <v>87</v>
      </c>
      <c r="B33" s="29" t="s">
        <v>39</v>
      </c>
      <c r="C33" s="27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54">
        <f>275.2*123.1541-P27</f>
        <v>33892.008320000001</v>
      </c>
      <c r="Q33" s="54">
        <f>260.6*125.4111-Q27</f>
        <v>32682.132660000003</v>
      </c>
      <c r="R33" s="54">
        <f>255.4*126.3835-R27</f>
        <v>32088.770649999999</v>
      </c>
      <c r="S33" s="54">
        <f>243.1*126.5582-S27</f>
        <v>30576.46112</v>
      </c>
      <c r="T33" s="54">
        <f>244.6*127.5727-T27</f>
        <v>31000.166099999999</v>
      </c>
      <c r="U33" s="55">
        <f>249.2*128.2704-U27</f>
        <v>31759.751039999999</v>
      </c>
      <c r="V33" s="55">
        <f>239.1*129.1064-V27</f>
        <v>29332.97408</v>
      </c>
      <c r="W33" s="55">
        <f>228.4*129.0391-W27</f>
        <v>27949.869059999997</v>
      </c>
      <c r="X33" s="55">
        <f>216.7*128.4404-X27</f>
        <v>25855.052520000001</v>
      </c>
      <c r="Y33" s="55">
        <f>219.8*128.2591-Y27</f>
        <v>26177.682309999997</v>
      </c>
      <c r="Z33" s="55">
        <f>217.91*128.1053-Z27</f>
        <v>25928.512719999999</v>
      </c>
      <c r="AA33" s="55">
        <f>210.481*128.6672-AA27</f>
        <v>25018.179035200003</v>
      </c>
      <c r="AB33" s="55">
        <f>204.1*129.4011-AB27</f>
        <v>24974.4123</v>
      </c>
      <c r="AC33" s="55">
        <f>196.5*130.1443-AC27</f>
        <v>24089.709929999997</v>
      </c>
      <c r="AD33" s="55">
        <f>180.2*128.6228-AD27</f>
        <v>21582.905840000003</v>
      </c>
      <c r="AE33" s="55">
        <f>176.4*128.2195-AE27</f>
        <v>21001.071905000004</v>
      </c>
      <c r="AF33" s="55">
        <f>176.7*129.6466-AF27</f>
        <v>21275.007059999996</v>
      </c>
      <c r="AG33" s="55">
        <f>171.9*129.91-AG27</f>
        <v>20824.573</v>
      </c>
      <c r="AH33" s="55">
        <f>158*127.2868-AH27</f>
        <v>19474.880399999998</v>
      </c>
      <c r="AI33" s="55">
        <f>148.4*126.0787-AI27</f>
        <v>18079.685580000001</v>
      </c>
      <c r="AJ33" s="55">
        <f>142.9*125.0004-AJ27</f>
        <v>16912.554120000001</v>
      </c>
      <c r="AK33" s="55">
        <f>140.1*125.3866-AK27</f>
        <v>16576.108519999998</v>
      </c>
      <c r="AL33" s="55">
        <f>139.1*128.154-AL27</f>
        <v>16826.617859999998</v>
      </c>
      <c r="AM33" s="55">
        <f>140.2*125.985-AM27</f>
        <v>16806.398999999998</v>
      </c>
      <c r="AN33" s="55">
        <v>14888.15</v>
      </c>
      <c r="AO33" s="8">
        <v>13506.504000000001</v>
      </c>
      <c r="AP33" s="45">
        <v>13506.504000000001</v>
      </c>
      <c r="AQ33" s="69">
        <v>7720.27</v>
      </c>
      <c r="AR33" s="69">
        <v>7881.718139999999</v>
      </c>
      <c r="AS33" s="8">
        <v>7820.2403400000003</v>
      </c>
      <c r="AT33" s="45">
        <v>7188.45</v>
      </c>
      <c r="AU33" s="45">
        <v>5750.6534999999994</v>
      </c>
      <c r="AV33" s="8">
        <v>5913.26</v>
      </c>
      <c r="AW33" s="8">
        <v>5267.07</v>
      </c>
      <c r="AX33" s="76">
        <v>5049.21</v>
      </c>
      <c r="AY33" s="76">
        <v>4843.67</v>
      </c>
      <c r="AZ33" s="46">
        <v>5155.5</v>
      </c>
      <c r="BA33" s="46">
        <v>794.27</v>
      </c>
      <c r="BB33" s="46">
        <v>786.41</v>
      </c>
      <c r="BC33" s="46">
        <v>0</v>
      </c>
      <c r="BD33" s="46">
        <v>0</v>
      </c>
      <c r="BE33" s="8">
        <v>0</v>
      </c>
      <c r="BF33" s="8">
        <v>0</v>
      </c>
      <c r="BG33" s="8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09">
        <v>0</v>
      </c>
      <c r="BT33" s="109">
        <v>0</v>
      </c>
      <c r="BU33" s="109">
        <v>0</v>
      </c>
      <c r="BV33" s="109">
        <v>0</v>
      </c>
      <c r="BW33" s="109">
        <v>0</v>
      </c>
      <c r="BX33" s="109">
        <v>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>
        <v>0</v>
      </c>
      <c r="CE33" s="109">
        <v>0</v>
      </c>
      <c r="CF33" s="109">
        <v>0</v>
      </c>
      <c r="CG33" s="109">
        <v>0</v>
      </c>
      <c r="CH33" s="109">
        <v>0</v>
      </c>
      <c r="CI33" s="109">
        <v>0</v>
      </c>
      <c r="CJ33" s="136">
        <v>0</v>
      </c>
      <c r="CK33" s="136">
        <v>0</v>
      </c>
      <c r="CL33" s="136">
        <v>0</v>
      </c>
      <c r="CM33" s="136">
        <v>0</v>
      </c>
      <c r="CN33" s="136">
        <v>0</v>
      </c>
      <c r="CO33" s="136">
        <v>0</v>
      </c>
      <c r="CP33" s="136">
        <v>0</v>
      </c>
      <c r="CQ33" s="136">
        <v>0</v>
      </c>
      <c r="CR33" s="136">
        <v>0</v>
      </c>
      <c r="CS33" s="136">
        <v>0</v>
      </c>
      <c r="CT33" s="136">
        <v>0</v>
      </c>
      <c r="CU33" s="136">
        <v>0</v>
      </c>
      <c r="CV33" s="136">
        <v>0</v>
      </c>
      <c r="CW33" s="136">
        <v>0</v>
      </c>
      <c r="CX33" s="136">
        <v>0</v>
      </c>
      <c r="CY33" s="136">
        <v>0</v>
      </c>
      <c r="CZ33" s="136">
        <v>0</v>
      </c>
      <c r="DA33" s="136">
        <v>0</v>
      </c>
      <c r="DB33" s="136">
        <v>0</v>
      </c>
      <c r="DC33" s="136">
        <v>0</v>
      </c>
      <c r="DD33" s="136">
        <v>0</v>
      </c>
      <c r="DE33" s="136">
        <v>0</v>
      </c>
      <c r="DF33" s="136">
        <v>0</v>
      </c>
      <c r="DG33" s="146">
        <v>0</v>
      </c>
    </row>
    <row r="34" spans="1:111" x14ac:dyDescent="0.35">
      <c r="A34" s="25" t="s">
        <v>88</v>
      </c>
      <c r="B34" s="29" t="s">
        <v>40</v>
      </c>
      <c r="C34" s="27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54">
        <f>10.4*123.1541-P28</f>
        <v>1280.8026400000001</v>
      </c>
      <c r="Q34" s="54">
        <f>10.4*125.4111-Q28</f>
        <v>1304.2754400000001</v>
      </c>
      <c r="R34" s="54">
        <f>10.4*126.3835-R28</f>
        <v>1314.3884</v>
      </c>
      <c r="S34" s="54">
        <f>10.5*126.5582-S28</f>
        <v>1328.8611000000001</v>
      </c>
      <c r="T34" s="54">
        <f>10.4*127.5727-T28</f>
        <v>1326.7560800000001</v>
      </c>
      <c r="U34" s="55">
        <f>9.9*128.2704-U28</f>
        <v>1269.8769600000001</v>
      </c>
      <c r="V34" s="55">
        <f>9.9*129.1064-V28</f>
        <v>1278.15336</v>
      </c>
      <c r="W34" s="55">
        <f>9.9*129.0391-W28</f>
        <v>1277.4870899999999</v>
      </c>
      <c r="X34" s="55">
        <f>9.9*128.4404-X28</f>
        <v>1271.55996</v>
      </c>
      <c r="Y34" s="55">
        <f>9.9*128.2591-Y28</f>
        <v>1269.7650899999999</v>
      </c>
      <c r="Z34" s="55">
        <f>9.9*128.1053-Z28</f>
        <v>1268.2424700000001</v>
      </c>
      <c r="AA34" s="55">
        <f>9.92*128.6672-AA28</f>
        <v>1276.3786240000002</v>
      </c>
      <c r="AB34" s="55">
        <f>9.9*129.4011-AB28</f>
        <v>1281.0708900000002</v>
      </c>
      <c r="AC34" s="55">
        <f>9.9*130.1443-AC28</f>
        <v>1288.4285699999998</v>
      </c>
      <c r="AD34" s="60">
        <f>9.9*128.6228-AD29</f>
        <v>1273.3657200000002</v>
      </c>
      <c r="AE34" s="60">
        <f>9.93*128.2195-AE29</f>
        <v>1273.2196350000002</v>
      </c>
      <c r="AF34" s="60">
        <f>9.9*129.6466-AF29</f>
        <v>1283.50134</v>
      </c>
      <c r="AG34" s="60">
        <f>8.9*129.91-AG29</f>
        <v>1156.1990000000001</v>
      </c>
      <c r="AH34" s="60">
        <f>8.9*127.2868-AH29</f>
        <v>1132.8525200000001</v>
      </c>
      <c r="AI34" s="60">
        <f>8.9*126.0787-AI29</f>
        <v>1122.10043</v>
      </c>
      <c r="AJ34" s="60">
        <f>8.9*125.0004-AJ29</f>
        <v>1112.5035600000001</v>
      </c>
      <c r="AK34" s="60">
        <f>8.9*125.3866-AK29</f>
        <v>1115.94074</v>
      </c>
      <c r="AL34" s="55">
        <f>8.9*128.154-AL29</f>
        <v>1140.5706</v>
      </c>
      <c r="AM34" s="60">
        <f>8.3*125.985-AM28</f>
        <v>1045.6755000000001</v>
      </c>
      <c r="AN34" s="60">
        <v>1052.7</v>
      </c>
      <c r="AO34" s="8">
        <v>1074.3810000000001</v>
      </c>
      <c r="AP34" s="45">
        <v>1074.3810000000001</v>
      </c>
      <c r="AQ34" s="69">
        <v>0</v>
      </c>
      <c r="AR34" s="69">
        <v>0</v>
      </c>
      <c r="AS34" s="75">
        <v>0</v>
      </c>
      <c r="AT34" s="8">
        <v>0</v>
      </c>
      <c r="AU34" s="8">
        <v>0</v>
      </c>
      <c r="AV34" s="8">
        <v>0</v>
      </c>
      <c r="AW34" s="8">
        <v>0</v>
      </c>
      <c r="AX34" s="76">
        <v>0</v>
      </c>
      <c r="AY34" s="7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8">
        <v>0</v>
      </c>
      <c r="BF34" s="8">
        <v>0</v>
      </c>
      <c r="BG34" s="8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09">
        <v>0</v>
      </c>
      <c r="BT34" s="109">
        <v>0</v>
      </c>
      <c r="BU34" s="109">
        <v>0</v>
      </c>
      <c r="BV34" s="109">
        <v>0</v>
      </c>
      <c r="BW34" s="109">
        <v>0</v>
      </c>
      <c r="BX34" s="109">
        <v>0</v>
      </c>
      <c r="BY34" s="109">
        <v>0</v>
      </c>
      <c r="BZ34" s="109">
        <v>0</v>
      </c>
      <c r="CA34" s="109">
        <v>0</v>
      </c>
      <c r="CB34" s="109">
        <v>0</v>
      </c>
      <c r="CC34" s="110">
        <v>0</v>
      </c>
      <c r="CD34" s="110">
        <v>0</v>
      </c>
      <c r="CE34" s="110">
        <v>0</v>
      </c>
      <c r="CF34" s="110">
        <v>0</v>
      </c>
      <c r="CG34" s="110">
        <v>0</v>
      </c>
      <c r="CH34" s="110">
        <v>0</v>
      </c>
      <c r="CI34" s="110">
        <v>0</v>
      </c>
      <c r="CJ34" s="136">
        <v>0</v>
      </c>
      <c r="CK34" s="136">
        <v>0</v>
      </c>
      <c r="CL34" s="136">
        <v>0</v>
      </c>
      <c r="CM34" s="136">
        <v>0</v>
      </c>
      <c r="CN34" s="136">
        <v>0</v>
      </c>
      <c r="CO34" s="136">
        <v>0</v>
      </c>
      <c r="CP34" s="136">
        <v>0</v>
      </c>
      <c r="CQ34" s="136">
        <v>0</v>
      </c>
      <c r="CR34" s="136">
        <v>0</v>
      </c>
      <c r="CS34" s="136">
        <v>0</v>
      </c>
      <c r="CT34" s="136">
        <v>0</v>
      </c>
      <c r="CU34" s="136">
        <v>0</v>
      </c>
      <c r="CV34" s="136">
        <v>0</v>
      </c>
      <c r="CW34" s="136">
        <v>0</v>
      </c>
      <c r="CX34" s="136">
        <v>0</v>
      </c>
      <c r="CY34" s="136">
        <v>0</v>
      </c>
      <c r="CZ34" s="136">
        <v>0</v>
      </c>
      <c r="DA34" s="136">
        <v>0</v>
      </c>
      <c r="DB34" s="136">
        <v>0</v>
      </c>
      <c r="DC34" s="136">
        <v>0</v>
      </c>
      <c r="DD34" s="136">
        <v>0</v>
      </c>
      <c r="DE34" s="136">
        <v>0</v>
      </c>
      <c r="DF34" s="136">
        <v>0</v>
      </c>
      <c r="DG34" s="146">
        <v>0</v>
      </c>
    </row>
    <row r="35" spans="1:111" ht="15" thickBot="1" x14ac:dyDescent="0.4">
      <c r="A35" s="31" t="s">
        <v>89</v>
      </c>
      <c r="B35" s="32" t="s">
        <v>41</v>
      </c>
      <c r="C35" s="33" t="s">
        <v>65</v>
      </c>
      <c r="D35" s="51">
        <f>4107.5*115.6521-D29</f>
        <v>427623.63974999997</v>
      </c>
      <c r="E35" s="52">
        <f>4099.6*116.1223-E29</f>
        <v>429362.20425000001</v>
      </c>
      <c r="F35" s="52">
        <f>3837.5*116.9832-F29</f>
        <v>432545.38199999998</v>
      </c>
      <c r="G35" s="52">
        <f>5707.6*117.4218-G29</f>
        <v>669010.70550000004</v>
      </c>
      <c r="H35" s="52">
        <f>5707.6*117.8553-H29</f>
        <v>671480.57175000012</v>
      </c>
      <c r="I35" s="52">
        <f>5707.6*119.0553-I29</f>
        <v>678317.57175000012</v>
      </c>
      <c r="J35" s="52">
        <f>5707.6*119.8343-J29</f>
        <v>682755.92425000004</v>
      </c>
      <c r="K35" s="52">
        <f>5699.8*119.932-K29</f>
        <v>683324.56320000009</v>
      </c>
      <c r="L35" s="73">
        <f>5699.8*120.415-L29</f>
        <v>684438.86</v>
      </c>
      <c r="M35" s="73">
        <f>5686.2*121.3417-M29</f>
        <v>688055.97568000003</v>
      </c>
      <c r="N35" s="73">
        <f>5686.8*121.8522-N29</f>
        <v>691023.82619999989</v>
      </c>
      <c r="O35" s="73">
        <f>5687.6*122.0421-O29</f>
        <v>694126.64796000009</v>
      </c>
      <c r="P35" s="34">
        <f>5688.8*123.1541-P29</f>
        <v>700599.04408000002</v>
      </c>
      <c r="Q35" s="34">
        <f>5681.7*125.4111-Q29</f>
        <v>712548.24687000003</v>
      </c>
      <c r="R35" s="34">
        <f>5665*126.3835-R29</f>
        <v>715962.52749999997</v>
      </c>
      <c r="S35" s="34">
        <f>5665*126.5582-S29</f>
        <v>716952.20299999998</v>
      </c>
      <c r="T35" s="34">
        <f>5627*127.5727-T29</f>
        <v>717851.58290000004</v>
      </c>
      <c r="U35" s="35">
        <f>5627*128.2704-U29</f>
        <v>721777.54079999996</v>
      </c>
      <c r="V35" s="35">
        <f>5622.8*129.1064-V29</f>
        <v>725939.4659200001</v>
      </c>
      <c r="W35" s="35">
        <f>5610.3*129.0391-W29</f>
        <v>723948.06273000001</v>
      </c>
      <c r="X35" s="35">
        <f>5610.3*128.4404-X29</f>
        <v>710442.38452000008</v>
      </c>
      <c r="Y35" s="35">
        <f>5610.3*128.2591-Y29</f>
        <v>709529.34120000002</v>
      </c>
      <c r="Z35" s="35">
        <f>5610.3*128.1053-Z29</f>
        <v>708678.51960000012</v>
      </c>
      <c r="AA35" s="35">
        <f>5610.28*128.6672-AA29</f>
        <v>711687.87665599992</v>
      </c>
      <c r="AB35" s="35">
        <f>5610.3*129.4011-AB29</f>
        <v>715756.30443000013</v>
      </c>
      <c r="AC35" s="35">
        <f>5602.4*130.1443-AC29</f>
        <v>718839.0266199999</v>
      </c>
      <c r="AD35" s="35">
        <f>5424.4*128.6228-AD29</f>
        <v>697701.51632000005</v>
      </c>
      <c r="AE35" s="35">
        <f>5424.41*128.2195-AE29</f>
        <v>695515.137995</v>
      </c>
      <c r="AF35" s="35">
        <f>6148.5*129.6466-AF29</f>
        <v>797132.12010000006</v>
      </c>
      <c r="AG35" s="35">
        <f>6148.5*129.91-AG29</f>
        <v>798751.63500000001</v>
      </c>
      <c r="AH35" s="35">
        <f>6148.5*127.2868-AH29</f>
        <v>782622.8898</v>
      </c>
      <c r="AI35" s="35">
        <f>6147.8*126.0787-AI29</f>
        <v>775106.63185999996</v>
      </c>
      <c r="AJ35" s="35">
        <f>6141.9*125.0004-AJ29</f>
        <v>767739.95675999997</v>
      </c>
      <c r="AK35" s="35">
        <f>6141.9*125.3866-AK29</f>
        <v>770111.95853999991</v>
      </c>
      <c r="AL35" s="64">
        <f>6141.9*128.154-AL29</f>
        <v>787109.05259999994</v>
      </c>
      <c r="AM35" s="35">
        <f>6141.9*125.985-AM29</f>
        <v>761276.96099999989</v>
      </c>
      <c r="AN35" s="35">
        <v>769697.13</v>
      </c>
      <c r="AO35" s="35">
        <v>785474.83299999998</v>
      </c>
      <c r="AP35" s="68">
        <v>773974.27624000004</v>
      </c>
      <c r="AQ35" s="71">
        <v>807363.97</v>
      </c>
      <c r="AR35" s="71">
        <v>819932.52461999992</v>
      </c>
      <c r="AS35" s="35">
        <v>805106.57414000016</v>
      </c>
      <c r="AT35" s="68">
        <v>766541.34</v>
      </c>
      <c r="AU35" s="68">
        <v>761680.44568999985</v>
      </c>
      <c r="AV35" s="35">
        <v>760464.4</v>
      </c>
      <c r="AW35" s="35">
        <v>810380.23</v>
      </c>
      <c r="AX35" s="102">
        <v>766951.95</v>
      </c>
      <c r="AY35" s="102">
        <v>753020.08</v>
      </c>
      <c r="AZ35" s="103">
        <v>803597.09</v>
      </c>
      <c r="BA35" s="103">
        <v>790759.26</v>
      </c>
      <c r="BB35" s="103">
        <v>779554.33</v>
      </c>
      <c r="BC35" s="103">
        <v>812639.6</v>
      </c>
      <c r="BD35" s="103">
        <v>818981.04</v>
      </c>
      <c r="BE35" s="35">
        <v>730359.23</v>
      </c>
      <c r="BF35" s="35">
        <v>757174.55</v>
      </c>
      <c r="BG35" s="35">
        <v>733814.93</v>
      </c>
      <c r="BH35" s="111">
        <v>716270.31</v>
      </c>
      <c r="BI35" s="111">
        <v>763014.9</v>
      </c>
      <c r="BJ35" s="111">
        <v>740211.19</v>
      </c>
      <c r="BK35" s="111">
        <v>730618.85</v>
      </c>
      <c r="BL35" s="111">
        <v>771424.55</v>
      </c>
      <c r="BM35" s="111">
        <v>774315.41</v>
      </c>
      <c r="BN35" s="111">
        <v>754729.83</v>
      </c>
      <c r="BO35" s="111">
        <v>797837.05</v>
      </c>
      <c r="BP35" s="111">
        <v>804737.5</v>
      </c>
      <c r="BQ35" s="111">
        <v>766015.92</v>
      </c>
      <c r="BR35" s="111">
        <v>766015.92</v>
      </c>
      <c r="BS35" s="111">
        <v>790947.33</v>
      </c>
      <c r="BT35" s="111">
        <v>767824.12</v>
      </c>
      <c r="BU35" s="111">
        <v>805306.4</v>
      </c>
      <c r="BV35" s="111">
        <v>817834.94</v>
      </c>
      <c r="BW35" s="111">
        <v>788995.83444500004</v>
      </c>
      <c r="BX35" s="111">
        <v>830592.6</v>
      </c>
      <c r="BY35" s="111">
        <v>803916.18</v>
      </c>
      <c r="BZ35" s="111">
        <v>798532.58</v>
      </c>
      <c r="CA35" s="111">
        <v>831172.76</v>
      </c>
      <c r="CB35" s="111">
        <v>817752.24199999997</v>
      </c>
      <c r="CC35" s="111">
        <v>788742.47046999994</v>
      </c>
      <c r="CD35" s="111">
        <v>833816.95828999998</v>
      </c>
      <c r="CE35" s="111">
        <v>839261.11</v>
      </c>
      <c r="CF35" s="111">
        <v>829843.80024000001</v>
      </c>
      <c r="CG35" s="111">
        <v>807675.39324999996</v>
      </c>
      <c r="CH35" s="111">
        <v>800194.14</v>
      </c>
      <c r="CI35" s="111">
        <v>790820.31499999994</v>
      </c>
      <c r="CJ35" s="137">
        <v>796351.11699999997</v>
      </c>
      <c r="CK35" s="137">
        <v>795771.55</v>
      </c>
      <c r="CL35" s="137">
        <v>778491.30721999996</v>
      </c>
      <c r="CM35" s="137">
        <v>789192.87882600003</v>
      </c>
      <c r="CN35" s="137">
        <v>778717.32</v>
      </c>
      <c r="CO35" s="137">
        <v>784971.12</v>
      </c>
      <c r="CP35" s="137">
        <v>791727.94</v>
      </c>
      <c r="CQ35" s="137">
        <v>794696.22135199991</v>
      </c>
      <c r="CR35" s="137">
        <v>780124.59</v>
      </c>
      <c r="CS35" s="137">
        <v>790648.04020499997</v>
      </c>
      <c r="CT35" s="137">
        <v>788627.6</v>
      </c>
      <c r="CU35" s="137">
        <v>774278.25</v>
      </c>
      <c r="CV35" s="137">
        <v>786590.22493800009</v>
      </c>
      <c r="CW35" s="137">
        <v>799501.97</v>
      </c>
      <c r="CX35" s="137">
        <v>792384.17</v>
      </c>
      <c r="CY35" s="137">
        <v>778792.80695799994</v>
      </c>
      <c r="CZ35" s="137">
        <v>777745.71714350011</v>
      </c>
      <c r="DA35" s="137">
        <v>778060.25445000001</v>
      </c>
      <c r="DB35" s="137">
        <v>781040.72618999996</v>
      </c>
      <c r="DC35" s="137">
        <v>773099.33190599992</v>
      </c>
      <c r="DD35" s="137">
        <v>770988.25478399999</v>
      </c>
      <c r="DE35" s="137">
        <v>778289.611638</v>
      </c>
      <c r="DF35" s="137">
        <v>780083.77758999995</v>
      </c>
      <c r="DG35" s="148">
        <v>774214.08</v>
      </c>
    </row>
    <row r="36" spans="1:111" x14ac:dyDescent="0.35">
      <c r="AC36" s="41"/>
      <c r="AJ36" s="60"/>
      <c r="AM36" s="37"/>
      <c r="AP36" s="9"/>
      <c r="AR36" s="9"/>
      <c r="BA36" s="95"/>
      <c r="BC36" s="9"/>
      <c r="BG36" s="9"/>
      <c r="BH36" s="8"/>
      <c r="BK36" s="61"/>
      <c r="BS36" s="124"/>
      <c r="BU36" s="66"/>
      <c r="BY36" s="131"/>
      <c r="BZ36" s="90"/>
      <c r="CA36" s="82"/>
      <c r="CB36" s="61"/>
      <c r="CD36" s="66"/>
      <c r="CK36" s="66"/>
      <c r="CL36" s="66"/>
    </row>
    <row r="37" spans="1:111" x14ac:dyDescent="0.35">
      <c r="B37" s="29"/>
      <c r="AB37" s="39"/>
      <c r="AC37" s="39"/>
      <c r="AD37" s="39"/>
      <c r="AE37" s="39"/>
      <c r="AJ37" s="55"/>
      <c r="AR37" s="9"/>
      <c r="AT37" s="45"/>
      <c r="BA37" s="95"/>
      <c r="BC37" s="9"/>
      <c r="BE37" s="62"/>
      <c r="BG37" s="9"/>
      <c r="BI37" s="9"/>
      <c r="BK37" s="61"/>
      <c r="BL37"/>
      <c r="BM37" s="61"/>
      <c r="BT37" s="61"/>
      <c r="BX37" s="90"/>
      <c r="BZ37" s="90"/>
      <c r="CD37" s="61"/>
    </row>
    <row r="38" spans="1:111" x14ac:dyDescent="0.35">
      <c r="B38" s="61"/>
      <c r="W38" s="2"/>
      <c r="AE38" s="9"/>
      <c r="AF38" s="9"/>
      <c r="AJ38" s="60"/>
      <c r="AM38" s="55"/>
      <c r="AR38" s="9"/>
      <c r="AS38" s="9"/>
      <c r="AT38" s="45"/>
      <c r="BA38" s="95"/>
      <c r="BC38" s="9"/>
      <c r="BG38" s="9"/>
      <c r="BL38" s="9"/>
      <c r="BU38" s="8"/>
      <c r="BV38" s="37"/>
      <c r="BX38" s="61"/>
      <c r="CW38" s="139"/>
      <c r="CX38" s="75"/>
      <c r="CY38" s="75"/>
    </row>
    <row r="39" spans="1:111" x14ac:dyDescent="0.35">
      <c r="B39" s="8"/>
      <c r="AC39" s="42"/>
      <c r="AF39" s="9"/>
      <c r="AG39" s="9"/>
      <c r="AJ39" s="8"/>
      <c r="AR39" s="9"/>
      <c r="AT39" s="45"/>
      <c r="AW39" t="s">
        <v>127</v>
      </c>
      <c r="BA39" s="95"/>
      <c r="BC39" s="9"/>
      <c r="BG39" s="9"/>
      <c r="BL39" s="9"/>
      <c r="BM39" s="8"/>
      <c r="BU39" s="37"/>
      <c r="CC39" s="37"/>
    </row>
    <row r="40" spans="1:111" x14ac:dyDescent="0.35">
      <c r="AC40" s="42"/>
      <c r="AE40" s="37"/>
      <c r="AF40" s="9"/>
      <c r="AG40" s="9"/>
      <c r="AI40" s="2"/>
      <c r="AM40" s="9"/>
      <c r="AR40" s="9"/>
      <c r="AT40" s="8"/>
      <c r="BA40" s="95"/>
      <c r="BC40" s="9"/>
      <c r="BG40" s="9"/>
      <c r="BJ40" s="124"/>
      <c r="BL40" s="9"/>
      <c r="BX40" s="37"/>
      <c r="CC40" s="8"/>
    </row>
    <row r="41" spans="1:111" x14ac:dyDescent="0.35">
      <c r="B41" s="61"/>
      <c r="AC41" s="41"/>
      <c r="AF41" s="45"/>
      <c r="AG41" s="53"/>
      <c r="AR41" s="9"/>
      <c r="AT41" s="45"/>
      <c r="BA41" s="95"/>
      <c r="BC41" s="9"/>
      <c r="BG41" s="9"/>
      <c r="BL41" s="9"/>
      <c r="BQ41" s="61"/>
      <c r="BR41" s="61"/>
    </row>
    <row r="42" spans="1:111" x14ac:dyDescent="0.35">
      <c r="B42" s="62"/>
      <c r="AC42" s="43"/>
      <c r="AF42" s="46"/>
      <c r="AG42" s="37"/>
      <c r="AR42" s="9"/>
      <c r="BA42" s="95"/>
      <c r="BC42" s="9"/>
      <c r="BG42" s="9"/>
      <c r="BI42" s="113"/>
      <c r="BK42" s="9"/>
      <c r="BL42" s="9"/>
    </row>
    <row r="43" spans="1:111" x14ac:dyDescent="0.35">
      <c r="AC43" s="43"/>
      <c r="AF43" s="8"/>
      <c r="AG43" s="37"/>
      <c r="AR43" s="9"/>
      <c r="BA43" s="95"/>
      <c r="BC43" s="9"/>
      <c r="BD43" s="2"/>
      <c r="BG43" s="9"/>
      <c r="BI43" s="113"/>
      <c r="BL43" s="9"/>
      <c r="CZ43" s="138"/>
      <c r="DA43" s="138"/>
    </row>
    <row r="44" spans="1:111" x14ac:dyDescent="0.35">
      <c r="AE44" s="9"/>
      <c r="AF44" s="8"/>
      <c r="AR44" s="9"/>
      <c r="BA44" s="95"/>
      <c r="BC44" s="9"/>
      <c r="BG44" s="9"/>
      <c r="BI44" s="113"/>
      <c r="BL44" s="9"/>
      <c r="BN44" s="9"/>
    </row>
    <row r="45" spans="1:111" x14ac:dyDescent="0.35">
      <c r="B45" s="62"/>
      <c r="AE45" s="9"/>
      <c r="AF45" s="44"/>
      <c r="AR45" s="9"/>
      <c r="BA45" s="95"/>
      <c r="BC45" s="9"/>
      <c r="BF45" s="114"/>
      <c r="BG45" s="105"/>
      <c r="BH45" s="84"/>
      <c r="BI45" s="83"/>
      <c r="BJ45" s="9"/>
      <c r="BK45" s="80"/>
      <c r="BL45" s="9"/>
      <c r="BM45" s="9"/>
    </row>
    <row r="46" spans="1:111" x14ac:dyDescent="0.35">
      <c r="B46" s="62"/>
      <c r="AF46" s="8"/>
      <c r="AG46" s="8"/>
      <c r="AR46" s="9"/>
      <c r="BA46" s="95"/>
      <c r="BC46" s="9"/>
      <c r="BF46" s="115"/>
      <c r="BG46" s="106"/>
      <c r="BH46" s="86"/>
      <c r="BI46" s="86"/>
      <c r="BJ46" s="9"/>
      <c r="BK46" s="80"/>
      <c r="BL46" s="9"/>
      <c r="CZ46" s="139"/>
      <c r="DA46" s="139"/>
    </row>
    <row r="47" spans="1:111" x14ac:dyDescent="0.35">
      <c r="AC47" s="42"/>
      <c r="AF47" s="44"/>
      <c r="AG47" s="8"/>
      <c r="AR47" s="9"/>
      <c r="BA47" s="96"/>
      <c r="BB47" s="84"/>
      <c r="BC47" s="105"/>
      <c r="BD47" s="83"/>
      <c r="BF47" s="114"/>
      <c r="BG47" s="107"/>
      <c r="BH47" s="85"/>
      <c r="BI47" s="85"/>
      <c r="BJ47" s="9"/>
      <c r="BK47" s="9"/>
      <c r="BL47" s="9"/>
      <c r="BM47" s="37"/>
    </row>
    <row r="48" spans="1:111" x14ac:dyDescent="0.35">
      <c r="AB48" s="36"/>
      <c r="AC48" s="41"/>
      <c r="AF48" s="8"/>
      <c r="AG48" s="8"/>
      <c r="AI48" s="9"/>
      <c r="AR48" s="9"/>
      <c r="BA48" s="97"/>
      <c r="BB48" s="86"/>
      <c r="BC48" s="106"/>
      <c r="BD48" s="86"/>
      <c r="BF48" s="116"/>
      <c r="BG48" s="106"/>
      <c r="BH48" s="87"/>
      <c r="BI48" s="87"/>
      <c r="BJ48" s="9"/>
      <c r="BK48" s="9"/>
      <c r="BL48" s="9"/>
      <c r="BM48" s="37"/>
    </row>
    <row r="49" spans="25:67" x14ac:dyDescent="0.35">
      <c r="Z49" s="8"/>
      <c r="AG49" s="8"/>
      <c r="AR49" s="9"/>
      <c r="BA49" s="98"/>
      <c r="BB49" s="85"/>
      <c r="BC49" s="107"/>
      <c r="BD49" s="85"/>
      <c r="BF49" s="116"/>
      <c r="BG49" s="106"/>
      <c r="BH49" s="87"/>
      <c r="BI49" s="87"/>
      <c r="BJ49" s="9"/>
      <c r="BK49" s="9"/>
      <c r="BL49" s="9"/>
      <c r="BM49" s="37"/>
    </row>
    <row r="50" spans="25:67" x14ac:dyDescent="0.35">
      <c r="Z50" s="8"/>
      <c r="AB50" s="8"/>
      <c r="AG50" s="8"/>
      <c r="AR50" s="9"/>
      <c r="BA50" s="97"/>
      <c r="BB50" s="87"/>
      <c r="BC50" s="108"/>
      <c r="BD50" s="87"/>
      <c r="BF50" s="116"/>
      <c r="BG50" s="106"/>
      <c r="BH50" s="87"/>
      <c r="BI50" s="87"/>
      <c r="BJ50" s="9"/>
      <c r="BK50" s="9"/>
      <c r="BL50" s="9"/>
      <c r="BM50" s="37"/>
    </row>
    <row r="51" spans="25:67" x14ac:dyDescent="0.35">
      <c r="Z51" s="8"/>
      <c r="AA51" s="36"/>
      <c r="AB51" s="8"/>
      <c r="AC51" s="43"/>
      <c r="AR51" s="9"/>
      <c r="BA51" s="97"/>
      <c r="BB51" s="87"/>
      <c r="BC51" s="108"/>
      <c r="BD51" s="87"/>
      <c r="BF51" s="116"/>
      <c r="BG51" s="108"/>
      <c r="BH51" s="87"/>
      <c r="BI51" s="87"/>
      <c r="BJ51" s="9"/>
      <c r="BK51" s="9"/>
      <c r="BL51" s="9"/>
      <c r="BM51" s="37"/>
    </row>
    <row r="52" spans="25:67" x14ac:dyDescent="0.35">
      <c r="Y52" s="36"/>
      <c r="Z52" s="8"/>
      <c r="AB52" s="8"/>
      <c r="AR52" s="9"/>
      <c r="BA52" s="97"/>
      <c r="BB52" s="87"/>
      <c r="BC52" s="108"/>
      <c r="BD52" s="86"/>
      <c r="BF52" s="115"/>
      <c r="BG52" s="106"/>
      <c r="BH52" s="86"/>
      <c r="BI52" s="86"/>
      <c r="BJ52" s="9"/>
      <c r="BK52" s="80"/>
      <c r="BL52" s="9"/>
      <c r="BM52" s="37"/>
    </row>
    <row r="53" spans="25:67" x14ac:dyDescent="0.35">
      <c r="Z53" s="8"/>
      <c r="AB53" s="8"/>
      <c r="AR53" s="9"/>
      <c r="BA53" s="99"/>
      <c r="BB53" s="87"/>
      <c r="BC53" s="108"/>
      <c r="BD53" s="87"/>
      <c r="BF53" s="114"/>
      <c r="BG53" s="105"/>
      <c r="BH53" s="83"/>
      <c r="BI53" s="83"/>
      <c r="BJ53" s="9"/>
      <c r="BK53" s="80"/>
      <c r="BL53" s="9"/>
      <c r="BM53" s="37"/>
    </row>
    <row r="54" spans="25:67" x14ac:dyDescent="0.35">
      <c r="Z54" s="8"/>
      <c r="AB54" s="8"/>
      <c r="AR54" s="9"/>
      <c r="BA54" s="97"/>
      <c r="BB54" s="86"/>
      <c r="BC54" s="106"/>
      <c r="BD54" s="86"/>
      <c r="BF54" s="115"/>
      <c r="BG54" s="106"/>
      <c r="BH54" s="86"/>
      <c r="BI54" s="86"/>
      <c r="BJ54" s="9"/>
      <c r="BK54" s="80"/>
      <c r="BL54" s="9"/>
      <c r="BM54" s="37"/>
    </row>
    <row r="55" spans="25:67" x14ac:dyDescent="0.35">
      <c r="Z55" s="8"/>
      <c r="AB55" s="8"/>
      <c r="AR55" s="9"/>
      <c r="BA55" s="96"/>
      <c r="BB55" s="83"/>
      <c r="BC55" s="105"/>
      <c r="BD55" s="85"/>
      <c r="BF55" s="114"/>
      <c r="BG55" s="107"/>
      <c r="BH55" s="85"/>
      <c r="BI55" s="85"/>
      <c r="BJ55" s="9"/>
      <c r="BK55" s="80"/>
      <c r="BL55" s="9"/>
      <c r="BM55" s="37"/>
    </row>
    <row r="56" spans="25:67" x14ac:dyDescent="0.35">
      <c r="Y56" s="36"/>
      <c r="Z56" s="8"/>
      <c r="AB56" s="8"/>
      <c r="AR56" s="9"/>
      <c r="BA56" s="97"/>
      <c r="BB56" s="86"/>
      <c r="BC56" s="106"/>
      <c r="BD56" s="86"/>
      <c r="BF56" s="115"/>
      <c r="BG56" s="106"/>
      <c r="BH56" s="86"/>
      <c r="BI56" s="86"/>
      <c r="BJ56" s="9"/>
      <c r="BK56" s="80"/>
      <c r="BL56" s="9"/>
      <c r="BM56" s="37"/>
    </row>
    <row r="57" spans="25:67" x14ac:dyDescent="0.35">
      <c r="Y57" s="9"/>
      <c r="Z57" s="8"/>
      <c r="AB57" s="8"/>
      <c r="AR57" s="9"/>
      <c r="BA57" s="98"/>
      <c r="BB57" s="85"/>
      <c r="BC57" s="107"/>
      <c r="BD57" s="85"/>
      <c r="BF57" s="114"/>
      <c r="BG57" s="105"/>
      <c r="BH57" s="83"/>
      <c r="BI57" s="83"/>
      <c r="BJ57" s="9"/>
      <c r="BK57" s="36"/>
      <c r="BL57" s="36"/>
      <c r="BM57" s="90"/>
      <c r="BN57" s="36"/>
      <c r="BO57" s="82"/>
    </row>
    <row r="58" spans="25:67" x14ac:dyDescent="0.35">
      <c r="Y58" s="9"/>
      <c r="Z58" s="8"/>
      <c r="AA58" s="36"/>
      <c r="AB58" s="8"/>
      <c r="AR58" s="9"/>
      <c r="BA58" s="97"/>
      <c r="BB58" s="86"/>
      <c r="BC58" s="106"/>
      <c r="BD58" s="86"/>
      <c r="BF58" s="115"/>
      <c r="BG58" s="106"/>
      <c r="BH58" s="86"/>
      <c r="BI58" s="86"/>
      <c r="BL58" s="9"/>
    </row>
    <row r="59" spans="25:67" x14ac:dyDescent="0.35">
      <c r="Z59" s="8"/>
      <c r="AA59" s="37"/>
      <c r="AB59" s="8"/>
      <c r="AR59" s="9"/>
      <c r="BA59" s="96"/>
      <c r="BB59" s="83"/>
      <c r="BC59" s="105"/>
      <c r="BD59" s="83"/>
      <c r="BF59" s="114"/>
      <c r="BG59" s="107"/>
      <c r="BH59" s="85"/>
      <c r="BI59" s="85"/>
      <c r="BJ59" s="85"/>
      <c r="BK59" s="85"/>
      <c r="BL59" s="107"/>
      <c r="BM59" s="85"/>
      <c r="BN59" s="107"/>
    </row>
    <row r="60" spans="25:67" x14ac:dyDescent="0.35">
      <c r="Y60" s="36"/>
      <c r="Z60" s="8"/>
      <c r="AB60" s="8"/>
      <c r="AR60" s="9"/>
      <c r="BA60" s="97"/>
      <c r="BB60" s="86"/>
      <c r="BC60" s="106"/>
      <c r="BD60" s="86"/>
      <c r="BF60" s="114"/>
      <c r="BG60" s="107"/>
      <c r="BH60" s="88"/>
      <c r="BI60" s="88"/>
      <c r="BL60" s="9"/>
    </row>
    <row r="61" spans="25:67" x14ac:dyDescent="0.35">
      <c r="Z61" s="8"/>
      <c r="AB61" s="8"/>
      <c r="AR61" s="9"/>
      <c r="BA61" s="98"/>
      <c r="BB61" s="85"/>
      <c r="BC61" s="107"/>
      <c r="BD61" s="85"/>
      <c r="BF61" s="115"/>
      <c r="BG61" s="42"/>
      <c r="BH61" s="89"/>
      <c r="BI61" s="89"/>
      <c r="BL61" s="9"/>
    </row>
    <row r="62" spans="25:67" x14ac:dyDescent="0.35">
      <c r="AB62" s="8"/>
      <c r="AR62" s="9"/>
      <c r="BA62" s="98"/>
      <c r="BB62" s="88"/>
      <c r="BC62" s="106"/>
      <c r="BD62" s="88"/>
      <c r="BH62" s="81"/>
    </row>
    <row r="63" spans="25:67" x14ac:dyDescent="0.35">
      <c r="Y63" s="36"/>
      <c r="AR63" s="9"/>
      <c r="BA63" s="100"/>
      <c r="BB63" s="89"/>
      <c r="BC63" s="42"/>
      <c r="BD63" s="89"/>
      <c r="BG63" s="82"/>
      <c r="BH63" s="82"/>
      <c r="BI63" s="82"/>
      <c r="BJ63" s="90"/>
      <c r="BK63" s="36"/>
      <c r="BL63" s="36"/>
      <c r="BM63" s="90"/>
      <c r="BN63" s="36"/>
    </row>
    <row r="64" spans="25:67" x14ac:dyDescent="0.35">
      <c r="BB64" s="81"/>
      <c r="BK64" s="37"/>
    </row>
    <row r="65" spans="25:63" x14ac:dyDescent="0.35">
      <c r="BA65" s="101"/>
      <c r="BB65" s="82"/>
      <c r="BC65" s="82"/>
      <c r="BD65" s="82"/>
      <c r="BH65" s="61"/>
    </row>
    <row r="66" spans="25:63" x14ac:dyDescent="0.35">
      <c r="BK66" s="61"/>
    </row>
    <row r="67" spans="25:63" x14ac:dyDescent="0.35">
      <c r="Y67" s="9"/>
      <c r="BB67" s="61"/>
      <c r="BI67" s="61"/>
    </row>
    <row r="70" spans="25:63" x14ac:dyDescent="0.35">
      <c r="BE70" s="141"/>
      <c r="BF70" s="141"/>
      <c r="BG70" s="141"/>
      <c r="BH70" s="141"/>
      <c r="BI70" s="141"/>
    </row>
    <row r="71" spans="25:63" x14ac:dyDescent="0.35">
      <c r="BE71" s="141"/>
      <c r="BF71" s="141"/>
      <c r="BG71" s="141"/>
      <c r="BH71" s="141"/>
      <c r="BI71" s="141"/>
    </row>
    <row r="72" spans="25:63" x14ac:dyDescent="0.35">
      <c r="BE72" s="141"/>
      <c r="BF72" s="141"/>
      <c r="BG72" s="141"/>
      <c r="BH72" s="141"/>
      <c r="BI72" s="141"/>
    </row>
    <row r="73" spans="25:63" x14ac:dyDescent="0.35">
      <c r="BE73" s="141"/>
      <c r="BF73" s="141"/>
      <c r="BG73" s="141"/>
      <c r="BH73" s="141"/>
      <c r="BI73" s="141"/>
    </row>
    <row r="74" spans="25:63" x14ac:dyDescent="0.35">
      <c r="Z74" s="8"/>
      <c r="BG74" s="9"/>
    </row>
    <row r="75" spans="25:63" x14ac:dyDescent="0.35">
      <c r="Z75" s="8"/>
      <c r="BF75" s="128"/>
      <c r="BG75" s="126"/>
      <c r="BH75" s="128"/>
      <c r="BI75" s="117"/>
    </row>
    <row r="76" spans="25:63" x14ac:dyDescent="0.35">
      <c r="Z76" s="8"/>
      <c r="BG76" s="9"/>
    </row>
    <row r="77" spans="25:63" x14ac:dyDescent="0.35">
      <c r="Z77" s="8"/>
      <c r="BG77" s="9"/>
    </row>
    <row r="78" spans="25:63" x14ac:dyDescent="0.35">
      <c r="Z78" s="8"/>
      <c r="BE78" s="118"/>
      <c r="BF78" s="38"/>
      <c r="BG78" s="38"/>
      <c r="BH78" s="38"/>
      <c r="BI78" s="38"/>
    </row>
    <row r="79" spans="25:63" x14ac:dyDescent="0.35">
      <c r="Z79" s="8"/>
      <c r="BE79" s="119"/>
      <c r="BF79" s="38"/>
      <c r="BG79" s="38"/>
      <c r="BH79" s="38"/>
      <c r="BI79" s="38"/>
    </row>
    <row r="80" spans="25:63" x14ac:dyDescent="0.35">
      <c r="Z80" s="8"/>
      <c r="BF80" s="120"/>
      <c r="BG80" s="120"/>
      <c r="BH80" s="120"/>
      <c r="BI80" s="120"/>
    </row>
    <row r="81" spans="26:61" x14ac:dyDescent="0.35">
      <c r="Z81" s="8"/>
      <c r="BE81" s="119"/>
      <c r="BF81" s="38"/>
      <c r="BG81" s="38"/>
      <c r="BH81" s="38"/>
      <c r="BI81" s="38"/>
    </row>
    <row r="82" spans="26:61" x14ac:dyDescent="0.35">
      <c r="Z82" s="8"/>
      <c r="BF82" s="38"/>
      <c r="BG82" s="38"/>
      <c r="BH82" s="38"/>
      <c r="BI82" s="38"/>
    </row>
    <row r="83" spans="26:61" x14ac:dyDescent="0.35">
      <c r="Z83" s="8"/>
      <c r="BF83" s="38"/>
      <c r="BG83" s="38"/>
      <c r="BH83" s="38"/>
      <c r="BI83" s="38"/>
    </row>
    <row r="84" spans="26:61" x14ac:dyDescent="0.35">
      <c r="Z84" s="8"/>
      <c r="BF84" s="121"/>
      <c r="BG84" s="127"/>
      <c r="BH84" s="121"/>
      <c r="BI84" s="121"/>
    </row>
    <row r="85" spans="26:61" x14ac:dyDescent="0.35">
      <c r="Z85" s="8"/>
      <c r="BE85" s="119"/>
      <c r="BF85" s="38"/>
      <c r="BG85" s="38"/>
      <c r="BH85" s="38"/>
      <c r="BI85" s="38"/>
    </row>
    <row r="86" spans="26:61" x14ac:dyDescent="0.35">
      <c r="Z86" s="8"/>
      <c r="BF86" s="38"/>
      <c r="BG86" s="38"/>
      <c r="BH86" s="38"/>
      <c r="BI86" s="38"/>
    </row>
    <row r="87" spans="26:61" x14ac:dyDescent="0.35">
      <c r="BF87" s="38"/>
      <c r="BG87" s="38"/>
      <c r="BH87" s="38"/>
      <c r="BI87" s="38"/>
    </row>
    <row r="88" spans="26:61" x14ac:dyDescent="0.35">
      <c r="BF88" s="38"/>
      <c r="BG88" s="38"/>
      <c r="BH88" s="38"/>
      <c r="BI88" s="38"/>
    </row>
    <row r="89" spans="26:61" x14ac:dyDescent="0.35">
      <c r="BF89" s="38"/>
      <c r="BG89" s="38"/>
      <c r="BH89" s="38"/>
      <c r="BI89" s="38"/>
    </row>
    <row r="90" spans="26:61" x14ac:dyDescent="0.35">
      <c r="BF90" s="38"/>
      <c r="BG90" s="38"/>
      <c r="BH90" s="38"/>
      <c r="BI90" s="38"/>
    </row>
    <row r="91" spans="26:61" x14ac:dyDescent="0.35">
      <c r="BF91" s="38"/>
      <c r="BG91" s="38"/>
      <c r="BH91" s="38"/>
      <c r="BI91" s="38"/>
    </row>
    <row r="92" spans="26:61" x14ac:dyDescent="0.35">
      <c r="BE92" s="122"/>
      <c r="BF92" s="123"/>
      <c r="BG92" s="123"/>
      <c r="BH92" s="123"/>
      <c r="BI92" s="12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 xr:uid="{00000000-0002-0000-0000-000000000000}">
      <formula1>$WWQ$2:$WWQ$4</formula1>
    </dataValidation>
    <dataValidation type="list" allowBlank="1" showErrorMessage="1" prompt="_x000a_" sqref="B5" xr:uid="{00000000-0002-0000-0000-000001000000}">
      <formula1>$WWR$2:$WWR$5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2024-04-30T20:19:53Z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