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U:\CGD NATIONAL DEBT SUMMARY PAGE\2023\07. July 2023\"/>
    </mc:Choice>
  </mc:AlternateContent>
  <xr:revisionPtr revIDLastSave="0" documentId="13_ncr:1_{B1D2A4ED-6393-4405-AECD-B674B850A2DB}" xr6:coauthVersionLast="47" xr6:coauthVersionMax="47" xr10:uidLastSave="{00000000-0000-0000-0000-000000000000}"/>
  <bookViews>
    <workbookView xWindow="28680" yWindow="-120" windowWidth="29040" windowHeight="1599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Y13" i="1" l="1"/>
  <c r="CY18" i="1"/>
  <c r="CY24" i="1"/>
  <c r="CY30" i="1"/>
  <c r="CW13" i="1"/>
  <c r="CX13" i="1"/>
  <c r="CW18" i="1"/>
  <c r="CX18" i="1"/>
  <c r="CW24" i="1"/>
  <c r="CX24" i="1"/>
  <c r="CW30" i="1"/>
  <c r="CX30" i="1"/>
  <c r="CY23" i="1" l="1"/>
  <c r="CY12" i="1"/>
  <c r="CX12" i="1"/>
  <c r="CW12" i="1"/>
  <c r="CW11" i="1" s="1"/>
  <c r="CW23" i="1"/>
  <c r="CX23" i="1"/>
  <c r="CX11" i="1"/>
  <c r="CY11" i="1" l="1"/>
  <c r="CV13" i="1"/>
  <c r="CV18" i="1"/>
  <c r="CV24" i="1"/>
  <c r="CV30" i="1"/>
  <c r="CV12" i="1" l="1"/>
  <c r="CV23" i="1"/>
  <c r="CU13" i="1"/>
  <c r="CU18" i="1"/>
  <c r="CU24" i="1"/>
  <c r="CU30" i="1"/>
  <c r="CV11" i="1" l="1"/>
  <c r="CU12" i="1"/>
  <c r="CU23" i="1"/>
  <c r="CT13" i="1"/>
  <c r="CT18" i="1"/>
  <c r="CT24" i="1"/>
  <c r="CT30" i="1"/>
  <c r="CU11" i="1" l="1"/>
  <c r="CT12" i="1"/>
  <c r="CT23" i="1"/>
  <c r="CS13" i="1"/>
  <c r="CS18" i="1"/>
  <c r="CS24" i="1"/>
  <c r="CS30" i="1"/>
  <c r="CT11" i="1" l="1"/>
  <c r="CS23" i="1"/>
  <c r="CS12" i="1"/>
  <c r="CR13" i="1"/>
  <c r="CR18" i="1"/>
  <c r="CR24" i="1"/>
  <c r="CR30" i="1"/>
  <c r="CS11" i="1" l="1"/>
  <c r="CR12" i="1"/>
  <c r="CR23" i="1"/>
  <c r="CQ13" i="1"/>
  <c r="CQ18" i="1"/>
  <c r="CQ24" i="1"/>
  <c r="CQ30" i="1"/>
  <c r="CR11" i="1" l="1"/>
  <c r="CQ12" i="1"/>
  <c r="CQ23" i="1"/>
  <c r="CQ11" i="1" l="1"/>
  <c r="CP13" i="1"/>
  <c r="CP18" i="1"/>
  <c r="CP24" i="1"/>
  <c r="CP30" i="1"/>
  <c r="CP12" i="1" l="1"/>
  <c r="CP23" i="1"/>
  <c r="CO13" i="1"/>
  <c r="CO18" i="1"/>
  <c r="CO24" i="1"/>
  <c r="CO30" i="1"/>
  <c r="CP11" i="1" l="1"/>
  <c r="CO23" i="1"/>
  <c r="CO12" i="1"/>
  <c r="CN13" i="1"/>
  <c r="CN18" i="1"/>
  <c r="CN24" i="1"/>
  <c r="CN30" i="1"/>
  <c r="CO11" i="1" l="1"/>
  <c r="CN12" i="1"/>
  <c r="CN23" i="1"/>
  <c r="CM13" i="1"/>
  <c r="CM18" i="1"/>
  <c r="CM24" i="1"/>
  <c r="CM30" i="1"/>
  <c r="CN11" i="1" l="1"/>
  <c r="CM12" i="1"/>
  <c r="CM23" i="1"/>
  <c r="CL13" i="1"/>
  <c r="CL18" i="1"/>
  <c r="CL24" i="1"/>
  <c r="CL30" i="1"/>
  <c r="CM11" i="1" l="1"/>
  <c r="CL23" i="1"/>
  <c r="CL12" i="1"/>
  <c r="CK13" i="1"/>
  <c r="CK18" i="1"/>
  <c r="CK24" i="1"/>
  <c r="CK30" i="1"/>
  <c r="CL11" i="1" l="1"/>
  <c r="CK12" i="1"/>
  <c r="CK23" i="1"/>
  <c r="CJ24" i="1"/>
  <c r="CK11" i="1" l="1"/>
  <c r="CJ30" i="1"/>
  <c r="CJ23" i="1" s="1"/>
  <c r="CJ18" i="1"/>
  <c r="CJ13" i="1"/>
  <c r="CJ12" i="1" l="1"/>
  <c r="CJ11" i="1" s="1"/>
  <c r="CI13" i="1"/>
  <c r="CI18" i="1"/>
  <c r="CI24" i="1"/>
  <c r="CI30" i="1"/>
  <c r="CI23" i="1" l="1"/>
  <c r="CI12" i="1"/>
  <c r="CH13" i="1"/>
  <c r="CH18" i="1"/>
  <c r="CH24" i="1"/>
  <c r="CH30" i="1"/>
  <c r="CI11" i="1" l="1"/>
  <c r="CH23" i="1"/>
  <c r="CH12" i="1"/>
  <c r="CG13" i="1"/>
  <c r="CG18" i="1"/>
  <c r="CG24" i="1"/>
  <c r="CG30" i="1"/>
  <c r="CH11" i="1" l="1"/>
  <c r="CG12" i="1"/>
  <c r="CG23" i="1"/>
  <c r="CF13" i="1"/>
  <c r="CF18" i="1"/>
  <c r="CF24" i="1"/>
  <c r="CF30" i="1"/>
  <c r="CG11" i="1" l="1"/>
  <c r="CF23" i="1"/>
  <c r="CF12" i="1"/>
  <c r="CE13" i="1"/>
  <c r="CE18" i="1"/>
  <c r="CE24" i="1"/>
  <c r="CE30" i="1"/>
  <c r="CF11" i="1" l="1"/>
  <c r="CE23" i="1"/>
  <c r="CE12" i="1"/>
  <c r="CD13" i="1"/>
  <c r="CD18" i="1"/>
  <c r="CD24" i="1"/>
  <c r="CD30" i="1"/>
  <c r="CD12" i="1" l="1"/>
  <c r="CE11" i="1"/>
  <c r="CD23" i="1"/>
  <c r="CC13" i="1"/>
  <c r="CC18" i="1"/>
  <c r="CC24" i="1"/>
  <c r="CC30" i="1"/>
  <c r="CD11" i="1" l="1"/>
  <c r="CC23" i="1"/>
  <c r="CC12" i="1"/>
  <c r="CB13" i="1"/>
  <c r="CB18" i="1"/>
  <c r="CB24" i="1"/>
  <c r="CB30" i="1"/>
  <c r="CB12" i="1" l="1"/>
  <c r="CC11" i="1"/>
  <c r="CB23" i="1"/>
  <c r="CA13" i="1"/>
  <c r="CA18" i="1"/>
  <c r="CA24" i="1"/>
  <c r="CA30" i="1"/>
  <c r="CB11" i="1" l="1"/>
  <c r="CA12" i="1"/>
  <c r="CA23" i="1"/>
  <c r="CA11" i="1" l="1"/>
  <c r="BZ13" i="1" l="1"/>
  <c r="BZ18" i="1"/>
  <c r="BZ24" i="1"/>
  <c r="BZ30" i="1"/>
  <c r="BZ23" i="1" l="1"/>
  <c r="BZ12" i="1"/>
  <c r="BZ11" i="1" l="1"/>
  <c r="BY13" i="1"/>
  <c r="BY18" i="1"/>
  <c r="BY24" i="1"/>
  <c r="BY30" i="1"/>
  <c r="BY23" i="1" l="1"/>
  <c r="BY12" i="1"/>
  <c r="BX13" i="1"/>
  <c r="BX18" i="1"/>
  <c r="BX24" i="1"/>
  <c r="BX30" i="1"/>
  <c r="BX12" i="1" l="1"/>
  <c r="BY11" i="1"/>
  <c r="BX23" i="1"/>
  <c r="BX11" i="1" l="1"/>
  <c r="BW13" i="1"/>
  <c r="BW18" i="1"/>
  <c r="BW24" i="1"/>
  <c r="BW30" i="1"/>
  <c r="BW23" i="1" l="1"/>
  <c r="BW12" i="1"/>
  <c r="BV13" i="1"/>
  <c r="BV18" i="1"/>
  <c r="BV24" i="1"/>
  <c r="BV30" i="1"/>
  <c r="BW11" i="1" l="1"/>
  <c r="BV23" i="1"/>
  <c r="BV12" i="1"/>
  <c r="BU13" i="1"/>
  <c r="BU18" i="1"/>
  <c r="BU24" i="1"/>
  <c r="BU30" i="1"/>
  <c r="BV11" i="1" l="1"/>
  <c r="BU23" i="1"/>
  <c r="BU12" i="1"/>
  <c r="BT13" i="1"/>
  <c r="BT18" i="1"/>
  <c r="BT24" i="1"/>
  <c r="BT30" i="1"/>
  <c r="BU11" i="1" l="1"/>
  <c r="BT12" i="1"/>
  <c r="BT23" i="1"/>
  <c r="BT11" i="1" l="1"/>
  <c r="BS13" i="1"/>
  <c r="BS18" i="1"/>
  <c r="BS24" i="1"/>
  <c r="BS30" i="1"/>
  <c r="BS23" i="1" l="1"/>
  <c r="BS12" i="1"/>
  <c r="BR30" i="1"/>
  <c r="BR24" i="1"/>
  <c r="BR18" i="1"/>
  <c r="BR13" i="1"/>
  <c r="BR12" i="1" l="1"/>
  <c r="BS11" i="1"/>
  <c r="BR23" i="1"/>
  <c r="BQ13" i="1"/>
  <c r="BQ18" i="1"/>
  <c r="BQ24" i="1"/>
  <c r="BQ30" i="1"/>
  <c r="BR11" i="1" l="1"/>
  <c r="BQ23" i="1"/>
  <c r="BQ12" i="1"/>
  <c r="BP30" i="1"/>
  <c r="BQ11" i="1" l="1"/>
  <c r="BP13" i="1"/>
  <c r="BP18" i="1"/>
  <c r="BP24" i="1"/>
  <c r="BP23" i="1" l="1"/>
  <c r="BP12" i="1"/>
  <c r="BO24" i="1"/>
  <c r="BO30" i="1"/>
  <c r="BO18" i="1"/>
  <c r="BO13" i="1"/>
  <c r="BP11" i="1" l="1"/>
  <c r="BO23" i="1"/>
  <c r="BO12" i="1"/>
  <c r="BN13" i="1"/>
  <c r="BN18" i="1"/>
  <c r="BN24" i="1"/>
  <c r="BN30" i="1"/>
  <c r="BO11" i="1" l="1"/>
  <c r="BN12" i="1"/>
  <c r="BN23" i="1"/>
  <c r="BN11" i="1" l="1"/>
  <c r="BM13" i="1"/>
  <c r="BM18" i="1"/>
  <c r="BM24" i="1"/>
  <c r="BM30" i="1"/>
  <c r="BM23" i="1" l="1"/>
  <c r="BM12" i="1"/>
  <c r="BL24" i="1"/>
  <c r="BL13" i="1"/>
  <c r="BL18" i="1"/>
  <c r="BL30" i="1"/>
  <c r="BM11" i="1" l="1"/>
  <c r="BL23" i="1"/>
  <c r="BL12" i="1"/>
  <c r="BK13" i="1"/>
  <c r="BK18" i="1"/>
  <c r="BK24" i="1"/>
  <c r="BK30" i="1"/>
  <c r="BL11" i="1" l="1"/>
  <c r="BK23" i="1"/>
  <c r="BK12" i="1"/>
  <c r="BK11" i="1" l="1"/>
  <c r="BH30" i="1"/>
  <c r="BJ13" i="1" l="1"/>
  <c r="BJ18" i="1"/>
  <c r="BJ24" i="1"/>
  <c r="BJ30" i="1"/>
  <c r="BJ23" i="1" l="1"/>
  <c r="BJ12" i="1"/>
  <c r="BI13" i="1"/>
  <c r="BI18" i="1"/>
  <c r="BI24" i="1"/>
  <c r="BI30" i="1"/>
  <c r="BJ11" i="1" l="1"/>
  <c r="BI23" i="1"/>
  <c r="BI12" i="1"/>
  <c r="BH13" i="1"/>
  <c r="BH18" i="1"/>
  <c r="BH24" i="1"/>
  <c r="BI11" i="1" l="1"/>
  <c r="BH23" i="1"/>
  <c r="BH12" i="1"/>
  <c r="BH11" i="1" l="1"/>
  <c r="BG13" i="1"/>
  <c r="BG18" i="1"/>
  <c r="BG24" i="1"/>
  <c r="BG30" i="1"/>
  <c r="BG23" i="1" l="1"/>
  <c r="BG12" i="1"/>
  <c r="BF30" i="1"/>
  <c r="BF24" i="1"/>
  <c r="BF18" i="1"/>
  <c r="BF13" i="1"/>
  <c r="BF12" i="1" l="1"/>
  <c r="BG11" i="1"/>
  <c r="BF23" i="1"/>
  <c r="BF11" i="1" l="1"/>
  <c r="BE30" i="1"/>
  <c r="BE24" i="1"/>
  <c r="BE18" i="1"/>
  <c r="BE13" i="1"/>
  <c r="BE23" i="1" l="1"/>
  <c r="BE12" i="1"/>
  <c r="BD13" i="1"/>
  <c r="BD18" i="1"/>
  <c r="BD24" i="1"/>
  <c r="BD30" i="1"/>
  <c r="BE11" i="1" l="1"/>
  <c r="BD23" i="1"/>
  <c r="BD12" i="1"/>
  <c r="BC13" i="1"/>
  <c r="BC18" i="1"/>
  <c r="BC24" i="1"/>
  <c r="BC30" i="1"/>
  <c r="BD11" i="1" l="1"/>
  <c r="BC23" i="1"/>
  <c r="BC12" i="1"/>
  <c r="BB30" i="1"/>
  <c r="BB24" i="1"/>
  <c r="BB18" i="1"/>
  <c r="BB13" i="1"/>
  <c r="BB12" i="1" l="1"/>
  <c r="BC11" i="1"/>
  <c r="BB23" i="1"/>
  <c r="BB11" i="1" l="1"/>
  <c r="BA30" i="1"/>
  <c r="BA24" i="1"/>
  <c r="BA18" i="1"/>
  <c r="BA13" i="1"/>
  <c r="BA12" i="1" l="1"/>
  <c r="BA23" i="1"/>
  <c r="AZ30" i="1"/>
  <c r="AZ24" i="1"/>
  <c r="AZ18" i="1"/>
  <c r="AZ13" i="1"/>
  <c r="AY30" i="1"/>
  <c r="AY24" i="1"/>
  <c r="AY18" i="1"/>
  <c r="AY13" i="1"/>
  <c r="AY12" i="1" l="1"/>
  <c r="BA11" i="1"/>
  <c r="AY23" i="1"/>
  <c r="AZ23" i="1"/>
  <c r="AZ12" i="1"/>
  <c r="AX30" i="1"/>
  <c r="AX24" i="1"/>
  <c r="AX18" i="1"/>
  <c r="AX13" i="1"/>
  <c r="AY11" i="1" l="1"/>
  <c r="AZ11" i="1"/>
  <c r="AX12" i="1"/>
  <c r="AX23" i="1"/>
  <c r="AW30" i="1"/>
  <c r="AW24" i="1"/>
  <c r="AW18" i="1"/>
  <c r="AW13" i="1"/>
  <c r="AW12" i="1" l="1"/>
  <c r="AX11" i="1"/>
  <c r="AW23" i="1"/>
  <c r="AV30" i="1"/>
  <c r="AV24" i="1"/>
  <c r="AV18" i="1"/>
  <c r="AV13" i="1"/>
  <c r="AV12" i="1" l="1"/>
  <c r="AW11" i="1"/>
  <c r="AV23" i="1"/>
  <c r="AT24" i="1"/>
  <c r="AV11" i="1" l="1"/>
  <c r="AU24" i="1"/>
  <c r="AU30" i="1"/>
  <c r="AU23" i="1" l="1"/>
  <c r="AU18" i="1"/>
  <c r="AU13" i="1"/>
  <c r="AU12" i="1" l="1"/>
  <c r="AU11" i="1" s="1"/>
  <c r="AT30" i="1" l="1"/>
  <c r="AT23" i="1" l="1"/>
  <c r="AT18" i="1"/>
  <c r="AT13" i="1"/>
  <c r="AT12" i="1" l="1"/>
  <c r="AT11" i="1" s="1"/>
  <c r="AS18" i="1" l="1"/>
  <c r="AS13" i="1"/>
  <c r="AS30" i="1"/>
  <c r="AS24" i="1"/>
  <c r="AS12" i="1" l="1"/>
  <c r="AS23" i="1"/>
  <c r="AQ30" i="1"/>
  <c r="AQ24" i="1"/>
  <c r="AQ18" i="1"/>
  <c r="AQ13" i="1"/>
  <c r="AS11" i="1" l="1"/>
  <c r="AQ23" i="1"/>
  <c r="AQ12" i="1"/>
  <c r="AP30" i="1"/>
  <c r="AP24" i="1"/>
  <c r="AP18" i="1"/>
  <c r="AP13" i="1"/>
  <c r="AP12" i="1" l="1"/>
  <c r="AP23" i="1"/>
  <c r="AQ11" i="1"/>
  <c r="AM29" i="1"/>
  <c r="AM35" i="1" s="1"/>
  <c r="AM28" i="1"/>
  <c r="AM34" i="1" s="1"/>
  <c r="AM27" i="1"/>
  <c r="AM33" i="1" s="1"/>
  <c r="AM26" i="1"/>
  <c r="AM32" i="1" s="1"/>
  <c r="AM25" i="1"/>
  <c r="AM31" i="1" s="1"/>
  <c r="AP11" i="1" l="1"/>
  <c r="AM21" i="1"/>
  <c r="AM20" i="1"/>
  <c r="AM19" i="1"/>
  <c r="AM30" i="1"/>
  <c r="AM24" i="1"/>
  <c r="AM13" i="1"/>
  <c r="AM23" i="1" l="1"/>
  <c r="AM18" i="1"/>
  <c r="AM12" i="1" s="1"/>
  <c r="AL29" i="1"/>
  <c r="AL34" i="1" s="1"/>
  <c r="AL28" i="1"/>
  <c r="AL27" i="1"/>
  <c r="AL33" i="1" s="1"/>
  <c r="AL26" i="1"/>
  <c r="AL32" i="1" s="1"/>
  <c r="AL25" i="1"/>
  <c r="AL31" i="1" s="1"/>
  <c r="AL35" i="1" l="1"/>
  <c r="AL30" i="1" s="1"/>
  <c r="AL24" i="1"/>
  <c r="AM11" i="1"/>
  <c r="AL19" i="1"/>
  <c r="AL21" i="1"/>
  <c r="AL20" i="1"/>
  <c r="AL13" i="1"/>
  <c r="AL23" i="1" l="1"/>
  <c r="AL18" i="1"/>
  <c r="AL12" i="1" s="1"/>
  <c r="AK21" i="1"/>
  <c r="AL11" i="1" l="1"/>
  <c r="AK27" i="1"/>
  <c r="AK33" i="1" s="1"/>
  <c r="AK26" i="1"/>
  <c r="AK32" i="1" s="1"/>
  <c r="AK25" i="1"/>
  <c r="AK31" i="1" s="1"/>
  <c r="AJ29" i="1"/>
  <c r="AJ28" i="1"/>
  <c r="AK28" i="1"/>
  <c r="AK19" i="1"/>
  <c r="AK29" i="1"/>
  <c r="AK35" i="1" s="1"/>
  <c r="AK20" i="1"/>
  <c r="AK13" i="1"/>
  <c r="AK34" i="1" l="1"/>
  <c r="AK30" i="1" s="1"/>
  <c r="AK18" i="1"/>
  <c r="AK12" i="1" s="1"/>
  <c r="AK24" i="1"/>
  <c r="AK23" i="1" l="1"/>
  <c r="AK11" i="1" s="1"/>
  <c r="AJ13" i="1" l="1"/>
  <c r="AJ19" i="1"/>
  <c r="AJ35" i="1" l="1"/>
  <c r="AJ34" i="1"/>
  <c r="AJ27" i="1"/>
  <c r="AJ33" i="1" s="1"/>
  <c r="AJ26" i="1"/>
  <c r="AJ32" i="1" s="1"/>
  <c r="AJ25" i="1"/>
  <c r="AJ31" i="1" s="1"/>
  <c r="AJ21" i="1" l="1"/>
  <c r="AJ20" i="1"/>
  <c r="AJ18" i="1" l="1"/>
  <c r="AJ12" i="1" s="1"/>
  <c r="AJ30" i="1"/>
  <c r="AJ24" i="1"/>
  <c r="AJ23" i="1" l="1"/>
  <c r="AJ11" i="1" s="1"/>
  <c r="AI29" i="1"/>
  <c r="AI35" i="1" s="1"/>
  <c r="AI28" i="1"/>
  <c r="AI27" i="1"/>
  <c r="AI33" i="1" s="1"/>
  <c r="AI26" i="1"/>
  <c r="AI32" i="1" s="1"/>
  <c r="AI25" i="1"/>
  <c r="AI31" i="1" s="1"/>
  <c r="AI34" i="1" l="1"/>
  <c r="AI30" i="1" s="1"/>
  <c r="AI24" i="1"/>
  <c r="AI21" i="1"/>
  <c r="AI19" i="1"/>
  <c r="AI20" i="1"/>
  <c r="AI13" i="1"/>
  <c r="AI23" i="1" l="1"/>
  <c r="AI18" i="1"/>
  <c r="AI12" i="1" s="1"/>
  <c r="AI11" i="1" l="1"/>
  <c r="AH35" i="1"/>
  <c r="AH34" i="1"/>
  <c r="AH27" i="1"/>
  <c r="AH33" i="1" s="1"/>
  <c r="AH26" i="1"/>
  <c r="AH32" i="1" s="1"/>
  <c r="AH25" i="1"/>
  <c r="AH31" i="1" s="1"/>
  <c r="AH19" i="1"/>
  <c r="AH13" i="1"/>
  <c r="AH20" i="1"/>
  <c r="AH21" i="1"/>
  <c r="AH30" i="1" l="1"/>
  <c r="AH24" i="1"/>
  <c r="AH18" i="1"/>
  <c r="AH12" i="1" s="1"/>
  <c r="AG27" i="1"/>
  <c r="AG33" i="1" s="1"/>
  <c r="AG26" i="1"/>
  <c r="AG32" i="1" s="1"/>
  <c r="AH23" i="1" l="1"/>
  <c r="AH11" i="1" s="1"/>
  <c r="AG34" i="1"/>
  <c r="AG13" i="1" l="1"/>
  <c r="AG21" i="1"/>
  <c r="AG35" i="1"/>
  <c r="AG25" i="1"/>
  <c r="AG31" i="1" s="1"/>
  <c r="AG20" i="1"/>
  <c r="AG19" i="1"/>
  <c r="AG24" i="1" l="1"/>
  <c r="AG18" i="1"/>
  <c r="AG12" i="1" s="1"/>
  <c r="AG30" i="1"/>
  <c r="E13" i="1"/>
  <c r="F13" i="1"/>
  <c r="G13" i="1"/>
  <c r="H13" i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V13" i="1"/>
  <c r="W13" i="1"/>
  <c r="X13" i="1"/>
  <c r="Y13" i="1"/>
  <c r="Z13" i="1"/>
  <c r="AA13" i="1"/>
  <c r="AB13" i="1"/>
  <c r="AC13" i="1"/>
  <c r="AD13" i="1"/>
  <c r="AE13" i="1"/>
  <c r="AF13" i="1"/>
  <c r="D13" i="1"/>
  <c r="AG23" i="1" l="1"/>
  <c r="AG11" i="1" s="1"/>
  <c r="AF35" i="1"/>
  <c r="AF34" i="1"/>
  <c r="AF27" i="1"/>
  <c r="AF33" i="1" s="1"/>
  <c r="AF26" i="1"/>
  <c r="AF32" i="1" s="1"/>
  <c r="AF25" i="1"/>
  <c r="AF31" i="1" s="1"/>
  <c r="AF30" i="1" l="1"/>
  <c r="AF24" i="1" l="1"/>
  <c r="AF23" i="1" s="1"/>
  <c r="AF21" i="1" l="1"/>
  <c r="AF20" i="1"/>
  <c r="AF19" i="1"/>
  <c r="AE19" i="1"/>
  <c r="AE20" i="1"/>
  <c r="AF18" i="1" l="1"/>
  <c r="AF12" i="1" s="1"/>
  <c r="AF11" i="1" s="1"/>
  <c r="AE21" i="1"/>
  <c r="AE18" i="1" s="1"/>
  <c r="AE12" i="1" s="1"/>
  <c r="AE25" i="1"/>
  <c r="AE31" i="1" s="1"/>
  <c r="AE26" i="1"/>
  <c r="AE32" i="1" s="1"/>
  <c r="AE27" i="1"/>
  <c r="AE33" i="1" s="1"/>
  <c r="AE34" i="1"/>
  <c r="AE24" i="1" l="1"/>
  <c r="AE35" i="1"/>
  <c r="AE30" i="1" s="1"/>
  <c r="AE23" i="1" l="1"/>
  <c r="AE11" i="1" s="1"/>
  <c r="AD34" i="1"/>
  <c r="AD21" i="1" l="1"/>
  <c r="AD20" i="1"/>
  <c r="AD19" i="1"/>
  <c r="AD35" i="1"/>
  <c r="AD27" i="1"/>
  <c r="AD33" i="1" s="1"/>
  <c r="AD26" i="1"/>
  <c r="AD32" i="1" s="1"/>
  <c r="AD25" i="1"/>
  <c r="AD18" i="1" l="1"/>
  <c r="AD12" i="1" s="1"/>
  <c r="AD24" i="1"/>
  <c r="AD31" i="1"/>
  <c r="AD30" i="1" s="1"/>
  <c r="AC34" i="1"/>
  <c r="AC29" i="1"/>
  <c r="AC35" i="1" s="1"/>
  <c r="AC27" i="1"/>
  <c r="AC33" i="1" s="1"/>
  <c r="AC26" i="1"/>
  <c r="AC32" i="1" s="1"/>
  <c r="AC25" i="1"/>
  <c r="AC31" i="1" s="1"/>
  <c r="AC19" i="1"/>
  <c r="AC18" i="1" s="1"/>
  <c r="AD23" i="1" l="1"/>
  <c r="AD11" i="1" s="1"/>
  <c r="AC30" i="1"/>
  <c r="AC12" i="1"/>
  <c r="AC24" i="1"/>
  <c r="AB25" i="1"/>
  <c r="AC23" i="1" l="1"/>
  <c r="AC11" i="1" s="1"/>
  <c r="AB26" i="1"/>
  <c r="AB32" i="1" s="1"/>
  <c r="AB34" i="1"/>
  <c r="AB31" i="1"/>
  <c r="AB29" i="1"/>
  <c r="AB35" i="1" s="1"/>
  <c r="AB27" i="1"/>
  <c r="AB33" i="1" s="1"/>
  <c r="AB30" i="1" l="1"/>
  <c r="AB24" i="1"/>
  <c r="AB23" i="1" l="1"/>
  <c r="AB19" i="1" l="1"/>
  <c r="AB18" i="1" s="1"/>
  <c r="AB12" i="1" s="1"/>
  <c r="AB11" i="1" s="1"/>
  <c r="AA19" i="1" l="1"/>
  <c r="AA18" i="1" l="1"/>
  <c r="AA12" i="1" l="1"/>
  <c r="AA34" i="1" l="1"/>
  <c r="AA29" i="1"/>
  <c r="AA35" i="1" s="1"/>
  <c r="AA27" i="1"/>
  <c r="AA33" i="1" s="1"/>
  <c r="AA26" i="1"/>
  <c r="AA32" i="1" s="1"/>
  <c r="AA25" i="1"/>
  <c r="AA31" i="1" s="1"/>
  <c r="AA24" i="1" l="1"/>
  <c r="AA30" i="1"/>
  <c r="AA23" i="1" l="1"/>
  <c r="AA11" i="1" s="1"/>
  <c r="Z27" i="1"/>
  <c r="Z33" i="1" s="1"/>
  <c r="Y26" i="1" l="1"/>
  <c r="Y32" i="1" l="1"/>
  <c r="Z19" i="1"/>
  <c r="Z26" i="1" l="1"/>
  <c r="Z32" i="1" s="1"/>
  <c r="Z34" i="1"/>
  <c r="Z29" i="1"/>
  <c r="Z35" i="1" s="1"/>
  <c r="Z25" i="1"/>
  <c r="Z31" i="1" s="1"/>
  <c r="Z24" i="1" l="1"/>
  <c r="Z30" i="1"/>
  <c r="Z23" i="1" l="1"/>
  <c r="Y25" i="1" l="1"/>
  <c r="Y31" i="1" s="1"/>
  <c r="Y27" i="1"/>
  <c r="Y33" i="1" s="1"/>
  <c r="Y29" i="1"/>
  <c r="Y35" i="1" s="1"/>
  <c r="Y34" i="1"/>
  <c r="Z18" i="1" l="1"/>
  <c r="Z12" i="1" l="1"/>
  <c r="O35" i="1" l="1"/>
  <c r="O34" i="1"/>
  <c r="O27" i="1"/>
  <c r="O33" i="1" s="1"/>
  <c r="O26" i="1"/>
  <c r="O32" i="1" s="1"/>
  <c r="O25" i="1"/>
  <c r="O31" i="1" s="1"/>
  <c r="O21" i="1"/>
  <c r="O20" i="1"/>
  <c r="O19" i="1"/>
  <c r="N29" i="1"/>
  <c r="N35" i="1" s="1"/>
  <c r="N28" i="1"/>
  <c r="N34" i="1" s="1"/>
  <c r="N27" i="1"/>
  <c r="N33" i="1" s="1"/>
  <c r="N26" i="1"/>
  <c r="N32" i="1" s="1"/>
  <c r="N25" i="1"/>
  <c r="N20" i="1"/>
  <c r="N19" i="1"/>
  <c r="M29" i="1"/>
  <c r="M35" i="1" s="1"/>
  <c r="M28" i="1"/>
  <c r="M34" i="1" s="1"/>
  <c r="M27" i="1"/>
  <c r="M33" i="1" s="1"/>
  <c r="M26" i="1"/>
  <c r="M32" i="1" s="1"/>
  <c r="M25" i="1"/>
  <c r="M31" i="1" s="1"/>
  <c r="M20" i="1"/>
  <c r="M19" i="1"/>
  <c r="L29" i="1"/>
  <c r="L35" i="1" s="1"/>
  <c r="L28" i="1"/>
  <c r="L34" i="1" s="1"/>
  <c r="L27" i="1"/>
  <c r="L33" i="1" s="1"/>
  <c r="L26" i="1"/>
  <c r="L32" i="1" s="1"/>
  <c r="L25" i="1"/>
  <c r="L31" i="1" s="1"/>
  <c r="L20" i="1"/>
  <c r="L19" i="1"/>
  <c r="K29" i="1"/>
  <c r="K35" i="1" s="1"/>
  <c r="K28" i="1"/>
  <c r="K34" i="1" s="1"/>
  <c r="K27" i="1"/>
  <c r="K33" i="1" s="1"/>
  <c r="K26" i="1"/>
  <c r="K32" i="1" s="1"/>
  <c r="K25" i="1"/>
  <c r="K31" i="1" s="1"/>
  <c r="K20" i="1"/>
  <c r="K19" i="1"/>
  <c r="J29" i="1"/>
  <c r="J35" i="1" s="1"/>
  <c r="J28" i="1"/>
  <c r="J34" i="1" s="1"/>
  <c r="J27" i="1"/>
  <c r="J33" i="1" s="1"/>
  <c r="J26" i="1"/>
  <c r="J32" i="1" s="1"/>
  <c r="J25" i="1"/>
  <c r="J31" i="1" s="1"/>
  <c r="J20" i="1"/>
  <c r="J19" i="1"/>
  <c r="I29" i="1"/>
  <c r="I35" i="1" s="1"/>
  <c r="I28" i="1"/>
  <c r="I34" i="1" s="1"/>
  <c r="I27" i="1"/>
  <c r="I33" i="1" s="1"/>
  <c r="I26" i="1"/>
  <c r="I32" i="1" s="1"/>
  <c r="I25" i="1"/>
  <c r="I31" i="1" s="1"/>
  <c r="I20" i="1"/>
  <c r="I19" i="1"/>
  <c r="H29" i="1"/>
  <c r="H35" i="1" s="1"/>
  <c r="H28" i="1"/>
  <c r="H34" i="1" s="1"/>
  <c r="H27" i="1"/>
  <c r="H33" i="1" s="1"/>
  <c r="H26" i="1"/>
  <c r="H32" i="1" s="1"/>
  <c r="H25" i="1"/>
  <c r="H31" i="1" s="1"/>
  <c r="H20" i="1"/>
  <c r="H19" i="1"/>
  <c r="G29" i="1"/>
  <c r="G35" i="1" s="1"/>
  <c r="G28" i="1"/>
  <c r="G34" i="1" s="1"/>
  <c r="G27" i="1"/>
  <c r="G33" i="1" s="1"/>
  <c r="G26" i="1"/>
  <c r="G32" i="1" s="1"/>
  <c r="G25" i="1"/>
  <c r="G31" i="1" s="1"/>
  <c r="G20" i="1"/>
  <c r="G19" i="1"/>
  <c r="F29" i="1"/>
  <c r="F35" i="1" s="1"/>
  <c r="F28" i="1"/>
  <c r="F34" i="1" s="1"/>
  <c r="F27" i="1"/>
  <c r="F33" i="1" s="1"/>
  <c r="F26" i="1"/>
  <c r="F32" i="1" s="1"/>
  <c r="F25" i="1"/>
  <c r="F31" i="1" s="1"/>
  <c r="F20" i="1"/>
  <c r="F19" i="1"/>
  <c r="E29" i="1"/>
  <c r="E35" i="1" s="1"/>
  <c r="E28" i="1"/>
  <c r="E34" i="1" s="1"/>
  <c r="E27" i="1"/>
  <c r="E33" i="1" s="1"/>
  <c r="E26" i="1"/>
  <c r="E32" i="1" s="1"/>
  <c r="E25" i="1"/>
  <c r="E31" i="1" s="1"/>
  <c r="E20" i="1"/>
  <c r="E19" i="1"/>
  <c r="D29" i="1"/>
  <c r="D35" i="1" s="1"/>
  <c r="D28" i="1"/>
  <c r="D34" i="1" s="1"/>
  <c r="D27" i="1"/>
  <c r="D33" i="1" s="1"/>
  <c r="D26" i="1"/>
  <c r="D32" i="1" s="1"/>
  <c r="D25" i="1"/>
  <c r="D31" i="1" s="1"/>
  <c r="D20" i="1"/>
  <c r="D19" i="1"/>
  <c r="Y19" i="1"/>
  <c r="K18" i="1" l="1"/>
  <c r="K12" i="1" s="1"/>
  <c r="L18" i="1"/>
  <c r="L12" i="1" s="1"/>
  <c r="M18" i="1"/>
  <c r="M12" i="1" s="1"/>
  <c r="N18" i="1"/>
  <c r="N12" i="1" s="1"/>
  <c r="D18" i="1"/>
  <c r="D12" i="1" s="1"/>
  <c r="E18" i="1"/>
  <c r="E12" i="1" s="1"/>
  <c r="H18" i="1"/>
  <c r="H12" i="1" s="1"/>
  <c r="I18" i="1"/>
  <c r="I12" i="1" s="1"/>
  <c r="J18" i="1"/>
  <c r="J12" i="1" s="1"/>
  <c r="F18" i="1"/>
  <c r="F12" i="1" s="1"/>
  <c r="D30" i="1"/>
  <c r="Z11" i="1"/>
  <c r="O24" i="1"/>
  <c r="O18" i="1"/>
  <c r="O12" i="1" s="1"/>
  <c r="G18" i="1"/>
  <c r="G12" i="1" s="1"/>
  <c r="K24" i="1"/>
  <c r="E24" i="1"/>
  <c r="J24" i="1"/>
  <c r="G24" i="1"/>
  <c r="I24" i="1"/>
  <c r="M24" i="1"/>
  <c r="D24" i="1"/>
  <c r="F24" i="1"/>
  <c r="L24" i="1"/>
  <c r="N24" i="1"/>
  <c r="O30" i="1"/>
  <c r="N31" i="1"/>
  <c r="N30" i="1" s="1"/>
  <c r="M30" i="1"/>
  <c r="L30" i="1"/>
  <c r="K30" i="1"/>
  <c r="J30" i="1"/>
  <c r="I30" i="1"/>
  <c r="H30" i="1"/>
  <c r="H24" i="1"/>
  <c r="G30" i="1"/>
  <c r="F30" i="1"/>
  <c r="E30" i="1"/>
  <c r="Y18" i="1"/>
  <c r="Y24" i="1"/>
  <c r="D23" i="1" l="1"/>
  <c r="D11" i="1" s="1"/>
  <c r="J23" i="1"/>
  <c r="J11" i="1" s="1"/>
  <c r="E23" i="1"/>
  <c r="E11" i="1" s="1"/>
  <c r="F23" i="1"/>
  <c r="F11" i="1" s="1"/>
  <c r="K23" i="1"/>
  <c r="K11" i="1" s="1"/>
  <c r="O23" i="1"/>
  <c r="O11" i="1" s="1"/>
  <c r="L23" i="1"/>
  <c r="L11" i="1" s="1"/>
  <c r="I23" i="1"/>
  <c r="I11" i="1" s="1"/>
  <c r="M23" i="1"/>
  <c r="M11" i="1" s="1"/>
  <c r="G23" i="1"/>
  <c r="G11" i="1" s="1"/>
  <c r="N23" i="1"/>
  <c r="N11" i="1" s="1"/>
  <c r="H23" i="1"/>
  <c r="H11" i="1" s="1"/>
  <c r="Y12" i="1"/>
  <c r="Y30" i="1"/>
  <c r="Y23" i="1" s="1"/>
  <c r="Y11" i="1" l="1"/>
  <c r="X34" i="1"/>
  <c r="X29" i="1"/>
  <c r="X35" i="1" s="1"/>
  <c r="X27" i="1"/>
  <c r="X26" i="1"/>
  <c r="X32" i="1" s="1"/>
  <c r="X25" i="1"/>
  <c r="X31" i="1" s="1"/>
  <c r="X19" i="1"/>
  <c r="X18" i="1" s="1"/>
  <c r="X24" i="1" l="1"/>
  <c r="X33" i="1"/>
  <c r="X30" i="1" s="1"/>
  <c r="X12" i="1"/>
  <c r="W35" i="1"/>
  <c r="W34" i="1"/>
  <c r="W27" i="1"/>
  <c r="W33" i="1" s="1"/>
  <c r="W26" i="1"/>
  <c r="W32" i="1" s="1"/>
  <c r="W25" i="1"/>
  <c r="W19" i="1"/>
  <c r="W20" i="1"/>
  <c r="V35" i="1"/>
  <c r="V34" i="1"/>
  <c r="V27" i="1"/>
  <c r="V33" i="1" s="1"/>
  <c r="V26" i="1"/>
  <c r="V32" i="1" s="1"/>
  <c r="V25" i="1"/>
  <c r="V31" i="1" s="1"/>
  <c r="V20" i="1"/>
  <c r="V19" i="1"/>
  <c r="U35" i="1"/>
  <c r="U34" i="1"/>
  <c r="U27" i="1"/>
  <c r="U33" i="1" s="1"/>
  <c r="U26" i="1"/>
  <c r="U32" i="1" s="1"/>
  <c r="U25" i="1"/>
  <c r="U31" i="1" s="1"/>
  <c r="U20" i="1"/>
  <c r="U19" i="1"/>
  <c r="T35" i="1"/>
  <c r="T34" i="1"/>
  <c r="T27" i="1"/>
  <c r="T33" i="1" s="1"/>
  <c r="T26" i="1"/>
  <c r="T32" i="1" s="1"/>
  <c r="T25" i="1"/>
  <c r="T31" i="1" s="1"/>
  <c r="T20" i="1"/>
  <c r="T19" i="1"/>
  <c r="S35" i="1"/>
  <c r="S34" i="1"/>
  <c r="S27" i="1"/>
  <c r="S33" i="1" s="1"/>
  <c r="S26" i="1"/>
  <c r="S32" i="1" s="1"/>
  <c r="S25" i="1"/>
  <c r="S31" i="1" s="1"/>
  <c r="S20" i="1"/>
  <c r="S19" i="1"/>
  <c r="R35" i="1"/>
  <c r="R34" i="1"/>
  <c r="R27" i="1"/>
  <c r="R33" i="1" s="1"/>
  <c r="R26" i="1"/>
  <c r="R32" i="1" s="1"/>
  <c r="R25" i="1"/>
  <c r="R31" i="1" s="1"/>
  <c r="R21" i="1"/>
  <c r="R20" i="1"/>
  <c r="R19" i="1"/>
  <c r="Q35" i="1"/>
  <c r="Q34" i="1"/>
  <c r="Q27" i="1"/>
  <c r="Q33" i="1" s="1"/>
  <c r="Q26" i="1"/>
  <c r="Q32" i="1" s="1"/>
  <c r="Q25" i="1"/>
  <c r="Q31" i="1" s="1"/>
  <c r="Q21" i="1"/>
  <c r="Q20" i="1"/>
  <c r="Q19" i="1"/>
  <c r="P35" i="1"/>
  <c r="P34" i="1"/>
  <c r="P27" i="1"/>
  <c r="P33" i="1" s="1"/>
  <c r="P26" i="1"/>
  <c r="P32" i="1" s="1"/>
  <c r="P25" i="1"/>
  <c r="P31" i="1" s="1"/>
  <c r="P21" i="1"/>
  <c r="P20" i="1"/>
  <c r="P19" i="1"/>
  <c r="C6" i="1"/>
  <c r="C5" i="1"/>
  <c r="U18" i="1" l="1"/>
  <c r="U12" i="1" s="1"/>
  <c r="V18" i="1"/>
  <c r="V12" i="1" s="1"/>
  <c r="X23" i="1"/>
  <c r="X11" i="1" s="1"/>
  <c r="T24" i="1"/>
  <c r="W24" i="1"/>
  <c r="Q18" i="1"/>
  <c r="Q12" i="1" s="1"/>
  <c r="P24" i="1"/>
  <c r="R18" i="1"/>
  <c r="R12" i="1" s="1"/>
  <c r="S18" i="1"/>
  <c r="S12" i="1" s="1"/>
  <c r="T18" i="1"/>
  <c r="T12" i="1" s="1"/>
  <c r="Q24" i="1"/>
  <c r="S24" i="1"/>
  <c r="W31" i="1"/>
  <c r="W30" i="1" s="1"/>
  <c r="R24" i="1"/>
  <c r="P18" i="1"/>
  <c r="P12" i="1" s="1"/>
  <c r="V24" i="1"/>
  <c r="W18" i="1"/>
  <c r="W12" i="1" s="1"/>
  <c r="V30" i="1"/>
  <c r="U30" i="1"/>
  <c r="U24" i="1"/>
  <c r="T30" i="1"/>
  <c r="S30" i="1"/>
  <c r="R30" i="1"/>
  <c r="Q30" i="1"/>
  <c r="P30" i="1"/>
  <c r="S23" i="1" l="1"/>
  <c r="S11" i="1" s="1"/>
  <c r="W23" i="1"/>
  <c r="W11" i="1" s="1"/>
  <c r="R23" i="1"/>
  <c r="R11" i="1" s="1"/>
  <c r="P23" i="1"/>
  <c r="P11" i="1" s="1"/>
  <c r="T23" i="1"/>
  <c r="T11" i="1" s="1"/>
  <c r="Q23" i="1"/>
  <c r="Q11" i="1" s="1"/>
  <c r="V23" i="1"/>
  <c r="V11" i="1" s="1"/>
  <c r="U23" i="1"/>
  <c r="U11" i="1" s="1"/>
</calcChain>
</file>

<file path=xl/sharedStrings.xml><?xml version="1.0" encoding="utf-8"?>
<sst xmlns="http://schemas.openxmlformats.org/spreadsheetml/2006/main" count="194" uniqueCount="185">
  <si>
    <t>DATA_DOMAIN</t>
  </si>
  <si>
    <t>CGD</t>
  </si>
  <si>
    <t>Dataset</t>
  </si>
  <si>
    <t>REF_AREA</t>
  </si>
  <si>
    <t>JM</t>
  </si>
  <si>
    <t>Country</t>
  </si>
  <si>
    <t>COUNTERPART_AREA</t>
  </si>
  <si>
    <t>_Z</t>
  </si>
  <si>
    <t xml:space="preserve">Counterpart area </t>
  </si>
  <si>
    <t>UNIT_MULT</t>
  </si>
  <si>
    <t>FREQ</t>
  </si>
  <si>
    <t>M</t>
  </si>
  <si>
    <t>COMMENT</t>
  </si>
  <si>
    <t>Published</t>
  </si>
  <si>
    <t>Observation status</t>
  </si>
  <si>
    <t>Country code</t>
  </si>
  <si>
    <t>Descriptor</t>
  </si>
  <si>
    <t>INDICATOR</t>
  </si>
  <si>
    <t>2016-04</t>
  </si>
  <si>
    <t>2016-05</t>
  </si>
  <si>
    <t>2016-06</t>
  </si>
  <si>
    <t>2016-07</t>
  </si>
  <si>
    <t>2016-08</t>
  </si>
  <si>
    <t>2016-09</t>
  </si>
  <si>
    <t>2016-10</t>
  </si>
  <si>
    <t>2016-11</t>
  </si>
  <si>
    <t>Central Government Gross Debt</t>
  </si>
  <si>
    <t xml:space="preserve">   Domestic Debt</t>
  </si>
  <si>
    <t xml:space="preserve">         Short Term</t>
  </si>
  <si>
    <t>J$ Benchmark Notes</t>
  </si>
  <si>
    <t>US$ Denominated Notes &amp; Loans</t>
  </si>
  <si>
    <t>T-Bills</t>
  </si>
  <si>
    <t>Long Term</t>
  </si>
  <si>
    <t>Commercial Bank &amp; Public Sector Entity Loans</t>
  </si>
  <si>
    <t>Other</t>
  </si>
  <si>
    <t xml:space="preserve">   External Debt</t>
  </si>
  <si>
    <t>Short Term</t>
  </si>
  <si>
    <t>Bilateral</t>
  </si>
  <si>
    <t>Multilateral</t>
  </si>
  <si>
    <t>Commercial Bank</t>
  </si>
  <si>
    <t>Other Commercial</t>
  </si>
  <si>
    <t>Bonds</t>
  </si>
  <si>
    <t>GCALN_G01_XDC</t>
  </si>
  <si>
    <t>GCALND_G01_XDC</t>
  </si>
  <si>
    <t>GCALNF_G01_XDC</t>
  </si>
  <si>
    <t>JM_CGD_ND_ST_001</t>
  </si>
  <si>
    <t>JM_CGD_ND_ST_002</t>
  </si>
  <si>
    <t>JM_CGD_ND_ST_003</t>
  </si>
  <si>
    <t>JM_CGD_ND_ST_004</t>
  </si>
  <si>
    <t>JM_CGD_ND_LT_001</t>
  </si>
  <si>
    <t>JM_CGD_ND_LT_002</t>
  </si>
  <si>
    <t>JM_CGD_ND_LT_003</t>
  </si>
  <si>
    <t>JM_CGD_ND_LT_004</t>
  </si>
  <si>
    <t>JM_CGD_ND_LT_005</t>
  </si>
  <si>
    <t>JM_CGD_NF_ST_001</t>
  </si>
  <si>
    <t>JM_CGD_NF_ST_002</t>
  </si>
  <si>
    <t>JM_CGD_NF_ST_003</t>
  </si>
  <si>
    <t>JM_CGD_NF_ST_004</t>
  </si>
  <si>
    <t>JM_CGD_NF_ST_005</t>
  </si>
  <si>
    <t>JM_CGD_NF_ST_006</t>
  </si>
  <si>
    <t>JM_CGD_NF_LT_001</t>
  </si>
  <si>
    <t>JM_CGD_NF_LT_002</t>
  </si>
  <si>
    <t>JM_CGD_NF_LT_003</t>
  </si>
  <si>
    <t>JM_CGD_NF_LT_004</t>
  </si>
  <si>
    <t>JM_CGD_NF_LT_005</t>
  </si>
  <si>
    <t>JM_CGD_NF_LT_006</t>
  </si>
  <si>
    <t>CGD_001</t>
  </si>
  <si>
    <t>CGD_002</t>
  </si>
  <si>
    <t>CGD_003</t>
  </si>
  <si>
    <t>CGD_004</t>
  </si>
  <si>
    <t>CGD_005</t>
  </si>
  <si>
    <t>CGD_006</t>
  </si>
  <si>
    <t>CGD_007</t>
  </si>
  <si>
    <t>CGD_008</t>
  </si>
  <si>
    <t>CGD_009</t>
  </si>
  <si>
    <t>CGD_010</t>
  </si>
  <si>
    <t>CGD_011</t>
  </si>
  <si>
    <t>CGD_012</t>
  </si>
  <si>
    <t>CGD_013</t>
  </si>
  <si>
    <t>CGD_014</t>
  </si>
  <si>
    <t>CGD_015</t>
  </si>
  <si>
    <t>CGD_016</t>
  </si>
  <si>
    <t>CGD_017</t>
  </si>
  <si>
    <t>CGD_018</t>
  </si>
  <si>
    <t>CGD_019</t>
  </si>
  <si>
    <t>CGD_020</t>
  </si>
  <si>
    <t>CGD_021</t>
  </si>
  <si>
    <t>CGD_022</t>
  </si>
  <si>
    <t>CGD_023</t>
  </si>
  <si>
    <t>CGD_024</t>
  </si>
  <si>
    <t>2016-12</t>
  </si>
  <si>
    <t>2015-04</t>
  </si>
  <si>
    <t>2015-05</t>
  </si>
  <si>
    <t>2015-06</t>
  </si>
  <si>
    <t>2015-07</t>
  </si>
  <si>
    <t>2015-08</t>
  </si>
  <si>
    <t>2015-09</t>
  </si>
  <si>
    <t>2015-10</t>
  </si>
  <si>
    <t>2015-11</t>
  </si>
  <si>
    <t>2015-12</t>
  </si>
  <si>
    <t>2016-03</t>
  </si>
  <si>
    <t>2016-01</t>
  </si>
  <si>
    <t>2016-02</t>
  </si>
  <si>
    <t>2017-01</t>
  </si>
  <si>
    <t>2017-02</t>
  </si>
  <si>
    <t>2017-03</t>
  </si>
  <si>
    <t>2017-04</t>
  </si>
  <si>
    <t>2017-05</t>
  </si>
  <si>
    <t>2017-06</t>
  </si>
  <si>
    <t>2017-07</t>
  </si>
  <si>
    <t>2017-08</t>
  </si>
  <si>
    <t>CGD_025</t>
  </si>
  <si>
    <t>JM_CGD_ND_ST_005</t>
  </si>
  <si>
    <t>2017-09</t>
  </si>
  <si>
    <t>2017-10</t>
  </si>
  <si>
    <t>2017-11</t>
  </si>
  <si>
    <t>2017-12</t>
  </si>
  <si>
    <t>2018-01</t>
  </si>
  <si>
    <t>2018-02</t>
  </si>
  <si>
    <t>2018-03</t>
  </si>
  <si>
    <t>2018-04</t>
  </si>
  <si>
    <t>2018-05</t>
  </si>
  <si>
    <t>2018-06</t>
  </si>
  <si>
    <t>2018-07</t>
  </si>
  <si>
    <t>2018-08</t>
  </si>
  <si>
    <t>2018-09</t>
  </si>
  <si>
    <t>2018-10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</si>
  <si>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</si>
  <si>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2018-11</t>
  </si>
  <si>
    <t>2018-12</t>
  </si>
  <si>
    <t>2019-01</t>
  </si>
  <si>
    <t>2019-02</t>
  </si>
  <si>
    <t>2019-03</t>
  </si>
  <si>
    <t>2019-04</t>
  </si>
  <si>
    <t>2019-05</t>
  </si>
  <si>
    <t>2019-06</t>
  </si>
  <si>
    <t>2019-07</t>
  </si>
  <si>
    <t>2019-08</t>
  </si>
  <si>
    <t>2019-09</t>
  </si>
  <si>
    <t>2019-10</t>
  </si>
  <si>
    <t>2019-11</t>
  </si>
  <si>
    <t>2019-12</t>
  </si>
  <si>
    <t>2020-01</t>
  </si>
  <si>
    <t>2020-02</t>
  </si>
  <si>
    <t>2020-03</t>
  </si>
  <si>
    <t>2020-04</t>
  </si>
  <si>
    <t>2020-05</t>
  </si>
  <si>
    <t>2020-06</t>
  </si>
  <si>
    <t>2020-07</t>
  </si>
  <si>
    <t>2020-08</t>
  </si>
  <si>
    <t>2020-09</t>
  </si>
  <si>
    <t>2020-10</t>
  </si>
  <si>
    <t>2020-11</t>
  </si>
  <si>
    <t>2020-12</t>
  </si>
  <si>
    <t>2021-01</t>
  </si>
  <si>
    <t>2021-02</t>
  </si>
  <si>
    <t>2021-03</t>
  </si>
  <si>
    <t>2021-04</t>
  </si>
  <si>
    <t>2021-05</t>
  </si>
  <si>
    <t>2021-06</t>
  </si>
  <si>
    <t>2021-07</t>
  </si>
  <si>
    <t>2021-08</t>
  </si>
  <si>
    <t>2021-09</t>
  </si>
  <si>
    <t>2021-10</t>
  </si>
  <si>
    <t>2021-11</t>
  </si>
  <si>
    <t>2021-12</t>
  </si>
  <si>
    <t>2022-01</t>
  </si>
  <si>
    <t>2022-02</t>
  </si>
  <si>
    <t>2022-03</t>
  </si>
  <si>
    <t>2022-04</t>
  </si>
  <si>
    <t>2022-05</t>
  </si>
  <si>
    <t>2022-06</t>
  </si>
  <si>
    <t>2022-07</t>
  </si>
  <si>
    <t>2022-08</t>
  </si>
  <si>
    <t>2022-09</t>
  </si>
  <si>
    <t>2022-10</t>
  </si>
  <si>
    <t>2022-11</t>
  </si>
  <si>
    <t>2022-12</t>
  </si>
  <si>
    <t>2023-01</t>
  </si>
  <si>
    <t>2023-02</t>
  </si>
  <si>
    <t>2023-03</t>
  </si>
  <si>
    <t>2023-04</t>
  </si>
  <si>
    <t>2023-05</t>
  </si>
  <si>
    <t>2023-06</t>
  </si>
  <si>
    <t>2023-07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</si>
</sst>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5" formatCode="#,##0.0"/>
    <numFmt numFmtId="166" formatCode="_(* #,##0.00_);_(* \(#,##0.00\);_(* &quot;-&quot;?_);_(@_)"/>
    <numFmt numFmtId="167" formatCode="0.0"/>
    <numFmt numFmtId="168" formatCode="_(* #,##0.0_);_(* \(#,##0.0\);_(* &quot;-&quot;?_);_(@_)"/>
    <numFmt numFmtId="169" formatCode="#,##0.00_ ;\-#,##0.00\ "/>
    <numFmt numFmtId="170" formatCode="m/d"/>
    <numFmt numFmtId="171" formatCode="0.0000"/>
    <numFmt numFmtId="172" formatCode="_-* #,##0.000_-;\-* #,##0.000_-;_-* &quot;-&quot;??_-;_-@_-"/>
    <numFmt numFmtId="173" formatCode="_-* #,##0.0_-;\-* #,##0.0_-;_-* &quot;-&quot;??_-;_-@_-"/>
    <numFmt numFmtId="174" formatCode="_(&quot;$&quot;* #,##0.00_);_(&quot;$&quot;* \(#,##0.00\);_(&quot;$&quot;* &quot;-&quot;??_);_(@_)"/>
  </numFmts>
  <fonts count="47" x14ac:knownFonts="1">
    <font>
      <sz val="11"/>
      <color theme="1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  <scheme val="minor"/>
    </font>
    <font>
      <b/>
      <i/>
      <sz val="10"/>
      <color indexed="8"/>
      <name val="Calibri"/>
      <family val="2"/>
    </font>
    <font>
      <sz val="10"/>
      <name val="Times New Roman"/>
      <family val="1"/>
    </font>
    <font>
      <b/>
      <sz val="10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0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sz val="8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b/>
      <sz val="8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Helv"/>
    </font>
    <font>
      <sz val="8"/>
      <name val="Calibri"/>
      <family val="2"/>
      <scheme val="minor"/>
    </font>
    <font>
      <sz val="11"/>
      <name val="Calibri"/>
      <family val="2"/>
    </font>
    <font>
      <sz val="11"/>
      <name val="Calibri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2"/>
      <name val="Helv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Arial"/>
      <family val="2"/>
    </font>
    <font>
      <b/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2656">
    <xf numFmtId="0" fontId="0" fillId="0" borderId="0"/>
    <xf numFmtId="0" fontId="4" fillId="0" borderId="0"/>
    <xf numFmtId="43" fontId="9" fillId="0" borderId="0" applyFont="0" applyFill="0" applyBorder="0" applyAlignment="0" applyProtection="0"/>
    <xf numFmtId="0" fontId="27" fillId="0" borderId="0"/>
    <xf numFmtId="43" fontId="28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23" applyNumberFormat="0" applyFill="0" applyAlignment="0" applyProtection="0"/>
    <xf numFmtId="0" fontId="31" fillId="0" borderId="24" applyNumberFormat="0" applyFill="0" applyAlignment="0" applyProtection="0"/>
    <xf numFmtId="0" fontId="32" fillId="0" borderId="25" applyNumberFormat="0" applyFill="0" applyAlignment="0" applyProtection="0"/>
    <xf numFmtId="0" fontId="32" fillId="0" borderId="0" applyNumberFormat="0" applyFill="0" applyBorder="0" applyAlignment="0" applyProtection="0"/>
    <xf numFmtId="0" fontId="33" fillId="0" borderId="0"/>
    <xf numFmtId="16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28" fillId="0" borderId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26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30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27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0" fontId="9" fillId="31" borderId="0" applyNumberFormat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28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3" fillId="0" borderId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0" fontId="9" fillId="8" borderId="30" applyNumberFormat="0" applyFont="0" applyAlignment="0" applyProtection="0"/>
    <xf numFmtId="9" fontId="12" fillId="0" borderId="0" applyFont="0" applyFill="0" applyBorder="0" applyAlignment="0" applyProtection="0"/>
    <xf numFmtId="0" fontId="34" fillId="2" borderId="0" applyNumberFormat="0" applyBorder="0" applyAlignment="0" applyProtection="0"/>
    <xf numFmtId="0" fontId="35" fillId="3" borderId="0" applyNumberFormat="0" applyBorder="0" applyAlignment="0" applyProtection="0"/>
    <xf numFmtId="0" fontId="36" fillId="4" borderId="0" applyNumberFormat="0" applyBorder="0" applyAlignment="0" applyProtection="0"/>
    <xf numFmtId="0" fontId="37" fillId="5" borderId="26" applyNumberFormat="0" applyAlignment="0" applyProtection="0"/>
    <xf numFmtId="0" fontId="38" fillId="6" borderId="27" applyNumberFormat="0" applyAlignment="0" applyProtection="0"/>
    <xf numFmtId="0" fontId="39" fillId="6" borderId="26" applyNumberFormat="0" applyAlignment="0" applyProtection="0"/>
    <xf numFmtId="0" fontId="40" fillId="0" borderId="28" applyNumberFormat="0" applyFill="0" applyAlignment="0" applyProtection="0"/>
    <xf numFmtId="0" fontId="41" fillId="7" borderId="29" applyNumberFormat="0" applyAlignment="0" applyProtection="0"/>
    <xf numFmtId="0" fontId="42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10" fillId="0" borderId="31" applyNumberFormat="0" applyFill="0" applyAlignment="0" applyProtection="0"/>
    <xf numFmtId="0" fontId="44" fillId="9" borderId="0" applyNumberFormat="0" applyBorder="0" applyAlignment="0" applyProtection="0"/>
    <xf numFmtId="0" fontId="44" fillId="12" borderId="0" applyNumberFormat="0" applyBorder="0" applyAlignment="0" applyProtection="0"/>
    <xf numFmtId="0" fontId="44" fillId="13" borderId="0" applyNumberFormat="0" applyBorder="0" applyAlignment="0" applyProtection="0"/>
    <xf numFmtId="0" fontId="44" fillId="16" borderId="0" applyNumberFormat="0" applyBorder="0" applyAlignment="0" applyProtection="0"/>
    <xf numFmtId="0" fontId="44" fillId="17" borderId="0" applyNumberFormat="0" applyBorder="0" applyAlignment="0" applyProtection="0"/>
    <xf numFmtId="0" fontId="44" fillId="20" borderId="0" applyNumberFormat="0" applyBorder="0" applyAlignment="0" applyProtection="0"/>
    <xf numFmtId="0" fontId="44" fillId="21" borderId="0" applyNumberFormat="0" applyBorder="0" applyAlignment="0" applyProtection="0"/>
    <xf numFmtId="0" fontId="44" fillId="24" borderId="0" applyNumberFormat="0" applyBorder="0" applyAlignment="0" applyProtection="0"/>
    <xf numFmtId="0" fontId="44" fillId="25" borderId="0" applyNumberFormat="0" applyBorder="0" applyAlignment="0" applyProtection="0"/>
    <xf numFmtId="0" fontId="44" fillId="28" borderId="0" applyNumberFormat="0" applyBorder="0" applyAlignment="0" applyProtection="0"/>
    <xf numFmtId="0" fontId="44" fillId="29" borderId="0" applyNumberFormat="0" applyBorder="0" applyAlignment="0" applyProtection="0"/>
    <xf numFmtId="0" fontId="44" fillId="32" borderId="0" applyNumberFormat="0" applyBorder="0" applyAlignment="0" applyProtection="0"/>
    <xf numFmtId="0" fontId="12" fillId="0" borderId="0"/>
    <xf numFmtId="16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0" fontId="9" fillId="0" borderId="0"/>
    <xf numFmtId="164" fontId="9" fillId="0" borderId="0" applyFont="0" applyFill="0" applyBorder="0" applyAlignment="0" applyProtection="0"/>
    <xf numFmtId="0" fontId="33" fillId="0" borderId="0"/>
    <xf numFmtId="9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2" fillId="0" borderId="0"/>
    <xf numFmtId="0" fontId="12" fillId="0" borderId="0"/>
    <xf numFmtId="174" fontId="12" fillId="0" borderId="0" applyFont="0" applyFill="0" applyBorder="0" applyAlignment="0" applyProtection="0"/>
    <xf numFmtId="0" fontId="9" fillId="18" borderId="0" applyNumberFormat="0" applyBorder="0" applyAlignment="0" applyProtection="0"/>
    <xf numFmtId="43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9" fillId="23" borderId="0" applyNumberFormat="0" applyBorder="0" applyAlignment="0" applyProtection="0"/>
    <xf numFmtId="0" fontId="9" fillId="30" borderId="0" applyNumberFormat="0" applyBorder="0" applyAlignment="0" applyProtection="0"/>
    <xf numFmtId="174" fontId="12" fillId="0" borderId="0" applyFont="0" applyFill="0" applyBorder="0" applyAlignment="0" applyProtection="0"/>
    <xf numFmtId="0" fontId="9" fillId="14" borderId="0" applyNumberFormat="0" applyBorder="0" applyAlignment="0" applyProtection="0"/>
    <xf numFmtId="0" fontId="33" fillId="0" borderId="0"/>
    <xf numFmtId="164" fontId="9" fillId="0" borderId="0" applyFont="0" applyFill="0" applyBorder="0" applyAlignment="0" applyProtection="0"/>
    <xf numFmtId="0" fontId="9" fillId="19" borderId="0" applyNumberFormat="0" applyBorder="0" applyAlignment="0" applyProtection="0"/>
    <xf numFmtId="0" fontId="12" fillId="0" borderId="0"/>
    <xf numFmtId="9" fontId="9" fillId="0" borderId="0" applyFont="0" applyFill="0" applyBorder="0" applyAlignment="0" applyProtection="0"/>
    <xf numFmtId="0" fontId="9" fillId="26" borderId="0" applyNumberFormat="0" applyBorder="0" applyAlignment="0" applyProtection="0"/>
    <xf numFmtId="174" fontId="12" fillId="0" borderId="0" applyFont="0" applyFill="0" applyBorder="0" applyAlignment="0" applyProtection="0"/>
    <xf numFmtId="0" fontId="9" fillId="10" borderId="0" applyNumberFormat="0" applyBorder="0" applyAlignment="0" applyProtection="0"/>
    <xf numFmtId="174" fontId="12" fillId="0" borderId="0" applyFont="0" applyFill="0" applyBorder="0" applyAlignment="0" applyProtection="0"/>
    <xf numFmtId="0" fontId="9" fillId="31" borderId="0" applyNumberFormat="0" applyBorder="0" applyAlignment="0" applyProtection="0"/>
    <xf numFmtId="0" fontId="9" fillId="15" borderId="0" applyNumberFormat="0" applyBorder="0" applyAlignment="0" applyProtection="0"/>
    <xf numFmtId="0" fontId="9" fillId="0" borderId="0"/>
    <xf numFmtId="164" fontId="9" fillId="0" borderId="0" applyFont="0" applyFill="0" applyBorder="0" applyAlignment="0" applyProtection="0"/>
    <xf numFmtId="0" fontId="9" fillId="22" borderId="0" applyNumberFormat="0" applyBorder="0" applyAlignment="0" applyProtection="0"/>
    <xf numFmtId="43" fontId="12" fillId="0" borderId="0" applyFont="0" applyFill="0" applyBorder="0" applyAlignment="0" applyProtection="0"/>
    <xf numFmtId="0" fontId="9" fillId="0" borderId="0"/>
    <xf numFmtId="174" fontId="12" fillId="0" borderId="0" applyFont="0" applyFill="0" applyBorder="0" applyAlignment="0" applyProtection="0"/>
    <xf numFmtId="0" fontId="9" fillId="27" borderId="0" applyNumberFormat="0" applyBorder="0" applyAlignment="0" applyProtection="0"/>
    <xf numFmtId="0" fontId="9" fillId="11" borderId="0" applyNumberFormat="0" applyBorder="0" applyAlignment="0" applyProtection="0"/>
    <xf numFmtId="0" fontId="45" fillId="0" borderId="0" applyNumberFormat="0" applyFill="0" applyBorder="0" applyAlignment="0" applyProtection="0"/>
    <xf numFmtId="43" fontId="45" fillId="0" borderId="0" applyFont="0" applyFill="0" applyBorder="0" applyAlignment="0" applyProtection="0"/>
    <xf numFmtId="0" fontId="45" fillId="0" borderId="0" applyNumberFormat="0" applyFill="0" applyBorder="0" applyAlignment="0" applyProtection="0"/>
    <xf numFmtId="0" fontId="33" fillId="0" borderId="0"/>
    <xf numFmtId="164" fontId="12" fillId="0" borderId="0" applyFont="0" applyFill="0" applyBorder="0" applyAlignment="0" applyProtection="0"/>
    <xf numFmtId="174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45" fillId="0" borderId="0" applyNumberFormat="0" applyFill="0" applyBorder="0" applyAlignment="0" applyProtection="0"/>
    <xf numFmtId="43" fontId="45" fillId="0" borderId="0" applyFont="0" applyFill="0" applyBorder="0" applyAlignment="0" applyProtection="0"/>
    <xf numFmtId="174" fontId="12" fillId="0" borderId="0" applyFont="0" applyFill="0" applyBorder="0" applyAlignment="0" applyProtection="0"/>
  </cellStyleXfs>
  <cellXfs count="148">
    <xf numFmtId="0" fontId="0" fillId="0" borderId="0" xfId="0"/>
    <xf numFmtId="0" fontId="5" fillId="0" borderId="0" xfId="1" applyFont="1"/>
    <xf numFmtId="165" fontId="0" fillId="0" borderId="0" xfId="0" applyNumberFormat="1"/>
    <xf numFmtId="165" fontId="5" fillId="0" borderId="0" xfId="1" applyNumberFormat="1" applyFont="1"/>
    <xf numFmtId="165" fontId="8" fillId="0" borderId="0" xfId="1" applyNumberFormat="1" applyFont="1"/>
    <xf numFmtId="165" fontId="5" fillId="0" borderId="9" xfId="1" applyNumberFormat="1" applyFont="1" applyBorder="1"/>
    <xf numFmtId="165" fontId="8" fillId="0" borderId="9" xfId="1" applyNumberFormat="1" applyFont="1" applyBorder="1"/>
    <xf numFmtId="0" fontId="1" fillId="0" borderId="11" xfId="0" applyFont="1" applyBorder="1" applyAlignment="1">
      <alignment horizontal="center"/>
    </xf>
    <xf numFmtId="4" fontId="0" fillId="0" borderId="0" xfId="0" applyNumberFormat="1"/>
    <xf numFmtId="43" fontId="0" fillId="0" borderId="0" xfId="2" applyFont="1" applyFill="1" applyBorder="1"/>
    <xf numFmtId="0" fontId="1" fillId="0" borderId="3" xfId="0" applyFont="1" applyBorder="1" applyAlignment="1">
      <alignment horizontal="left"/>
    </xf>
    <xf numFmtId="0" fontId="0" fillId="0" borderId="4" xfId="0" applyBorder="1"/>
    <xf numFmtId="0" fontId="0" fillId="0" borderId="5" xfId="0" applyBorder="1"/>
    <xf numFmtId="0" fontId="1" fillId="0" borderId="1" xfId="0" applyFont="1" applyBorder="1" applyAlignment="1">
      <alignment horizontal="left"/>
    </xf>
    <xf numFmtId="0" fontId="2" fillId="0" borderId="0" xfId="0" applyFont="1"/>
    <xf numFmtId="0" fontId="0" fillId="0" borderId="2" xfId="0" applyBorder="1"/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0" xfId="0" applyAlignment="1">
      <alignment horizontal="left"/>
    </xf>
    <xf numFmtId="0" fontId="0" fillId="0" borderId="2" xfId="0" applyBorder="1" applyAlignment="1">
      <alignment horizontal="left"/>
    </xf>
    <xf numFmtId="0" fontId="1" fillId="0" borderId="6" xfId="0" applyFont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8" xfId="0" applyBorder="1"/>
    <xf numFmtId="0" fontId="1" fillId="0" borderId="10" xfId="0" applyFont="1" applyBorder="1"/>
    <xf numFmtId="0" fontId="1" fillId="0" borderId="11" xfId="0" applyFont="1" applyBorder="1"/>
    <xf numFmtId="0" fontId="0" fillId="0" borderId="1" xfId="0" applyBorder="1"/>
    <xf numFmtId="0" fontId="5" fillId="0" borderId="0" xfId="0" applyFont="1"/>
    <xf numFmtId="0" fontId="0" fillId="0" borderId="0" xfId="0" applyAlignment="1">
      <alignment horizontal="right"/>
    </xf>
    <xf numFmtId="0" fontId="3" fillId="0" borderId="0" xfId="0" applyFont="1" applyAlignment="1">
      <alignment horizontal="left" indent="1"/>
    </xf>
    <xf numFmtId="0" fontId="6" fillId="0" borderId="0" xfId="0" applyFont="1" applyAlignment="1">
      <alignment horizontal="left" indent="3"/>
    </xf>
    <xf numFmtId="0" fontId="7" fillId="0" borderId="0" xfId="0" applyFont="1" applyAlignment="1">
      <alignment horizontal="left" indent="3"/>
    </xf>
    <xf numFmtId="0" fontId="0" fillId="0" borderId="6" xfId="0" applyBorder="1"/>
    <xf numFmtId="0" fontId="6" fillId="0" borderId="7" xfId="0" applyFont="1" applyBorder="1" applyAlignment="1">
      <alignment horizontal="left" indent="3"/>
    </xf>
    <xf numFmtId="0" fontId="0" fillId="0" borderId="7" xfId="0" applyBorder="1" applyAlignment="1">
      <alignment horizontal="right"/>
    </xf>
    <xf numFmtId="165" fontId="0" fillId="0" borderId="7" xfId="0" applyNumberFormat="1" applyBorder="1"/>
    <xf numFmtId="4" fontId="0" fillId="0" borderId="7" xfId="0" applyNumberFormat="1" applyBorder="1"/>
    <xf numFmtId="43" fontId="10" fillId="0" borderId="0" xfId="2" applyFont="1" applyFill="1" applyBorder="1"/>
    <xf numFmtId="43" fontId="0" fillId="0" borderId="0" xfId="0" applyNumberFormat="1"/>
    <xf numFmtId="43" fontId="12" fillId="0" borderId="0" xfId="2" applyFont="1" applyFill="1" applyBorder="1"/>
    <xf numFmtId="0" fontId="0" fillId="0" borderId="0" xfId="0" applyAlignment="1">
      <alignment vertical="top" wrapText="1"/>
    </xf>
    <xf numFmtId="0" fontId="11" fillId="0" borderId="0" xfId="0" applyFont="1"/>
    <xf numFmtId="43" fontId="13" fillId="0" borderId="0" xfId="2" applyFont="1" applyFill="1" applyBorder="1"/>
    <xf numFmtId="43" fontId="11" fillId="0" borderId="0" xfId="2" applyFont="1" applyFill="1" applyBorder="1"/>
    <xf numFmtId="43" fontId="13" fillId="0" borderId="0" xfId="0" applyNumberFormat="1" applyFont="1"/>
    <xf numFmtId="4" fontId="2" fillId="0" borderId="0" xfId="0" applyNumberFormat="1" applyFont="1"/>
    <xf numFmtId="4" fontId="0" fillId="0" borderId="0" xfId="2" applyNumberFormat="1" applyFont="1" applyFill="1" applyBorder="1"/>
    <xf numFmtId="4" fontId="9" fillId="0" borderId="0" xfId="2" applyNumberFormat="1" applyFont="1" applyFill="1" applyBorder="1"/>
    <xf numFmtId="0" fontId="1" fillId="0" borderId="1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165" fontId="5" fillId="0" borderId="14" xfId="1" applyNumberFormat="1" applyFont="1" applyBorder="1"/>
    <xf numFmtId="165" fontId="5" fillId="0" borderId="15" xfId="1" applyNumberFormat="1" applyFont="1" applyBorder="1"/>
    <xf numFmtId="165" fontId="8" fillId="0" borderId="16" xfId="1" applyNumberFormat="1" applyFont="1" applyBorder="1"/>
    <xf numFmtId="165" fontId="8" fillId="0" borderId="17" xfId="1" applyNumberFormat="1" applyFont="1" applyBorder="1"/>
    <xf numFmtId="164" fontId="0" fillId="0" borderId="0" xfId="2" applyNumberFormat="1" applyFont="1" applyFill="1" applyBorder="1"/>
    <xf numFmtId="165" fontId="14" fillId="0" borderId="0" xfId="0" applyNumberFormat="1" applyFont="1"/>
    <xf numFmtId="4" fontId="14" fillId="0" borderId="0" xfId="0" applyNumberFormat="1" applyFont="1"/>
    <xf numFmtId="4" fontId="15" fillId="0" borderId="0" xfId="0" applyNumberFormat="1" applyFont="1"/>
    <xf numFmtId="166" fontId="14" fillId="0" borderId="0" xfId="0" applyNumberFormat="1" applyFont="1"/>
    <xf numFmtId="2" fontId="14" fillId="0" borderId="0" xfId="0" applyNumberFormat="1" applyFont="1"/>
    <xf numFmtId="4" fontId="14" fillId="0" borderId="0" xfId="2" applyNumberFormat="1" applyFont="1" applyFill="1" applyBorder="1"/>
    <xf numFmtId="4" fontId="16" fillId="0" borderId="0" xfId="0" applyNumberFormat="1" applyFont="1"/>
    <xf numFmtId="43" fontId="0" fillId="0" borderId="0" xfId="2" applyFont="1" applyFill="1"/>
    <xf numFmtId="164" fontId="0" fillId="0" borderId="0" xfId="0" applyNumberFormat="1"/>
    <xf numFmtId="165" fontId="15" fillId="0" borderId="0" xfId="0" applyNumberFormat="1" applyFont="1"/>
    <xf numFmtId="4" fontId="14" fillId="0" borderId="7" xfId="0" applyNumberFormat="1" applyFont="1" applyBorder="1"/>
    <xf numFmtId="4" fontId="14" fillId="0" borderId="0" xfId="0" applyNumberFormat="1" applyFont="1" applyAlignment="1">
      <alignment horizontal="right"/>
    </xf>
    <xf numFmtId="4" fontId="10" fillId="0" borderId="0" xfId="0" applyNumberFormat="1" applyFont="1"/>
    <xf numFmtId="4" fontId="10" fillId="0" borderId="0" xfId="2" applyNumberFormat="1" applyFont="1" applyFill="1" applyBorder="1"/>
    <xf numFmtId="4" fontId="0" fillId="0" borderId="7" xfId="2" applyNumberFormat="1" applyFont="1" applyFill="1" applyBorder="1"/>
    <xf numFmtId="4" fontId="0" fillId="0" borderId="0" xfId="2" applyNumberFormat="1" applyFont="1" applyFill="1" applyBorder="1" applyAlignment="1">
      <alignment horizontal="right"/>
    </xf>
    <xf numFmtId="4" fontId="14" fillId="0" borderId="0" xfId="2" applyNumberFormat="1" applyFont="1" applyFill="1" applyBorder="1" applyAlignment="1">
      <alignment horizontal="right"/>
    </xf>
    <xf numFmtId="4" fontId="0" fillId="0" borderId="7" xfId="2" applyNumberFormat="1" applyFont="1" applyFill="1" applyBorder="1" applyAlignment="1">
      <alignment horizontal="right"/>
    </xf>
    <xf numFmtId="0" fontId="1" fillId="0" borderId="18" xfId="0" applyFont="1" applyBorder="1" applyAlignment="1">
      <alignment horizontal="center"/>
    </xf>
    <xf numFmtId="165" fontId="8" fillId="0" borderId="7" xfId="1" applyNumberFormat="1" applyFont="1" applyBorder="1"/>
    <xf numFmtId="0" fontId="10" fillId="0" borderId="12" xfId="0" applyFont="1" applyBorder="1" applyAlignment="1">
      <alignment horizontal="center"/>
    </xf>
    <xf numFmtId="2" fontId="0" fillId="0" borderId="0" xfId="0" applyNumberFormat="1"/>
    <xf numFmtId="4" fontId="0" fillId="0" borderId="0" xfId="0" applyNumberFormat="1" applyAlignment="1">
      <alignment horizontal="right"/>
    </xf>
    <xf numFmtId="2" fontId="0" fillId="0" borderId="0" xfId="0" applyNumberFormat="1" applyAlignment="1">
      <alignment horizontal="right"/>
    </xf>
    <xf numFmtId="4" fontId="10" fillId="0" borderId="0" xfId="0" applyNumberFormat="1" applyFont="1" applyAlignment="1">
      <alignment horizontal="right"/>
    </xf>
    <xf numFmtId="0" fontId="10" fillId="0" borderId="11" xfId="0" applyFont="1" applyBorder="1" applyAlignment="1">
      <alignment horizontal="center"/>
    </xf>
    <xf numFmtId="167" fontId="0" fillId="0" borderId="0" xfId="0" applyNumberFormat="1"/>
    <xf numFmtId="168" fontId="0" fillId="0" borderId="0" xfId="0" applyNumberFormat="1"/>
    <xf numFmtId="43" fontId="10" fillId="0" borderId="0" xfId="2" applyFont="1" applyFill="1"/>
    <xf numFmtId="165" fontId="17" fillId="0" borderId="0" xfId="2" applyNumberFormat="1" applyFont="1" applyFill="1"/>
    <xf numFmtId="167" fontId="17" fillId="0" borderId="0" xfId="0" applyNumberFormat="1" applyFont="1"/>
    <xf numFmtId="165" fontId="17" fillId="0" borderId="0" xfId="2" applyNumberFormat="1" applyFont="1" applyFill="1" applyBorder="1"/>
    <xf numFmtId="165" fontId="18" fillId="0" borderId="0" xfId="2" applyNumberFormat="1" applyFont="1" applyFill="1" applyBorder="1"/>
    <xf numFmtId="165" fontId="18" fillId="0" borderId="0" xfId="2" applyNumberFormat="1" applyFont="1" applyFill="1"/>
    <xf numFmtId="165" fontId="18" fillId="0" borderId="0" xfId="0" applyNumberFormat="1" applyFont="1"/>
    <xf numFmtId="165" fontId="11" fillId="0" borderId="0" xfId="2" applyNumberFormat="1" applyFont="1" applyFill="1" applyBorder="1"/>
    <xf numFmtId="43" fontId="10" fillId="0" borderId="0" xfId="0" applyNumberFormat="1" applyFont="1"/>
    <xf numFmtId="4" fontId="10" fillId="0" borderId="4" xfId="0" applyNumberFormat="1" applyFont="1" applyBorder="1"/>
    <xf numFmtId="169" fontId="10" fillId="0" borderId="0" xfId="0" applyNumberFormat="1" applyFont="1"/>
    <xf numFmtId="169" fontId="0" fillId="0" borderId="0" xfId="2" applyNumberFormat="1" applyFont="1" applyFill="1" applyBorder="1"/>
    <xf numFmtId="43" fontId="19" fillId="0" borderId="0" xfId="2" applyFont="1" applyFill="1"/>
    <xf numFmtId="43" fontId="19" fillId="0" borderId="0" xfId="2" applyFont="1" applyFill="1" applyBorder="1"/>
    <xf numFmtId="43" fontId="20" fillId="0" borderId="0" xfId="2" applyFont="1" applyFill="1"/>
    <xf numFmtId="43" fontId="21" fillId="0" borderId="0" xfId="2" applyFont="1" applyFill="1" applyBorder="1"/>
    <xf numFmtId="43" fontId="20" fillId="0" borderId="0" xfId="2" applyFont="1" applyFill="1" applyBorder="1"/>
    <xf numFmtId="43" fontId="21" fillId="0" borderId="0" xfId="2" applyFont="1" applyFill="1"/>
    <xf numFmtId="43" fontId="22" fillId="0" borderId="0" xfId="2" applyFont="1" applyFill="1" applyBorder="1"/>
    <xf numFmtId="43" fontId="23" fillId="0" borderId="0" xfId="2" applyFont="1" applyFill="1"/>
    <xf numFmtId="4" fontId="0" fillId="0" borderId="7" xfId="0" applyNumberFormat="1" applyBorder="1" applyAlignment="1">
      <alignment horizontal="right"/>
    </xf>
    <xf numFmtId="4" fontId="9" fillId="0" borderId="7" xfId="2" applyNumberFormat="1" applyFont="1" applyFill="1" applyBorder="1"/>
    <xf numFmtId="4" fontId="10" fillId="0" borderId="4" xfId="2" applyNumberFormat="1" applyFont="1" applyFill="1" applyBorder="1"/>
    <xf numFmtId="43" fontId="17" fillId="0" borderId="0" xfId="2" applyFont="1" applyFill="1"/>
    <xf numFmtId="43" fontId="18" fillId="0" borderId="0" xfId="2" applyFont="1" applyFill="1" applyBorder="1"/>
    <xf numFmtId="43" fontId="17" fillId="0" borderId="0" xfId="2" applyFont="1" applyFill="1" applyBorder="1"/>
    <xf numFmtId="43" fontId="18" fillId="0" borderId="0" xfId="2" applyFont="1" applyFill="1"/>
    <xf numFmtId="4" fontId="0" fillId="0" borderId="2" xfId="0" applyNumberFormat="1" applyBorder="1"/>
    <xf numFmtId="4" fontId="0" fillId="0" borderId="2" xfId="2" applyNumberFormat="1" applyFont="1" applyFill="1" applyBorder="1"/>
    <xf numFmtId="4" fontId="0" fillId="0" borderId="8" xfId="0" applyNumberFormat="1" applyBorder="1"/>
    <xf numFmtId="4" fontId="10" fillId="0" borderId="2" xfId="0" applyNumberFormat="1" applyFont="1" applyBorder="1"/>
    <xf numFmtId="170" fontId="0" fillId="0" borderId="0" xfId="0" applyNumberFormat="1"/>
    <xf numFmtId="0" fontId="17" fillId="0" borderId="0" xfId="0" applyFont="1"/>
    <xf numFmtId="0" fontId="18" fillId="0" borderId="0" xfId="0" applyFont="1"/>
    <xf numFmtId="0" fontId="18" fillId="0" borderId="0" xfId="0" applyFont="1" applyAlignment="1">
      <alignment horizontal="center"/>
    </xf>
    <xf numFmtId="0" fontId="24" fillId="0" borderId="0" xfId="0" applyFont="1" applyAlignment="1">
      <alignment horizontal="center" wrapText="1"/>
    </xf>
    <xf numFmtId="0" fontId="12" fillId="0" borderId="0" xfId="0" applyFont="1" applyAlignment="1">
      <alignment horizontal="left"/>
    </xf>
    <xf numFmtId="0" fontId="24" fillId="0" borderId="0" xfId="0" applyFont="1" applyAlignment="1">
      <alignment horizontal="left"/>
    </xf>
    <xf numFmtId="43" fontId="12" fillId="0" borderId="0" xfId="2" applyFont="1" applyFill="1" applyBorder="1" applyAlignment="1" applyProtection="1">
      <alignment horizontal="center"/>
    </xf>
    <xf numFmtId="164" fontId="12" fillId="0" borderId="0" xfId="0" applyNumberFormat="1" applyFont="1"/>
    <xf numFmtId="0" fontId="24" fillId="0" borderId="0" xfId="0" applyFont="1"/>
    <xf numFmtId="43" fontId="24" fillId="0" borderId="0" xfId="2" applyFont="1" applyFill="1" applyBorder="1"/>
    <xf numFmtId="171" fontId="0" fillId="0" borderId="0" xfId="0" applyNumberFormat="1"/>
    <xf numFmtId="4" fontId="10" fillId="0" borderId="5" xfId="0" applyNumberFormat="1" applyFont="1" applyBorder="1"/>
    <xf numFmtId="43" fontId="24" fillId="0" borderId="0" xfId="2" applyFont="1" applyFill="1" applyBorder="1" applyAlignment="1">
      <alignment horizontal="center"/>
    </xf>
    <xf numFmtId="43" fontId="12" fillId="0" borderId="0" xfId="2" applyFont="1" applyFill="1" applyBorder="1" applyAlignment="1" applyProtection="1"/>
    <xf numFmtId="0" fontId="24" fillId="0" borderId="0" xfId="0" applyFont="1" applyAlignment="1">
      <alignment horizontal="center"/>
    </xf>
    <xf numFmtId="4" fontId="2" fillId="0" borderId="2" xfId="0" applyNumberFormat="1" applyFont="1" applyBorder="1"/>
    <xf numFmtId="172" fontId="0" fillId="0" borderId="0" xfId="2" applyNumberFormat="1" applyFont="1" applyFill="1"/>
    <xf numFmtId="173" fontId="0" fillId="0" borderId="0" xfId="2" applyNumberFormat="1" applyFont="1" applyFill="1"/>
    <xf numFmtId="171" fontId="25" fillId="0" borderId="0" xfId="0" applyNumberFormat="1" applyFont="1"/>
    <xf numFmtId="0" fontId="10" fillId="0" borderId="19" xfId="0" applyFont="1" applyBorder="1" applyAlignment="1">
      <alignment horizontal="center"/>
    </xf>
    <xf numFmtId="4" fontId="10" fillId="0" borderId="20" xfId="0" applyNumberFormat="1" applyFont="1" applyBorder="1"/>
    <xf numFmtId="4" fontId="10" fillId="0" borderId="21" xfId="0" applyNumberFormat="1" applyFont="1" applyBorder="1"/>
    <xf numFmtId="4" fontId="0" fillId="0" borderId="21" xfId="0" applyNumberFormat="1" applyBorder="1"/>
    <xf numFmtId="4" fontId="0" fillId="0" borderId="22" xfId="0" applyNumberFormat="1" applyBorder="1"/>
    <xf numFmtId="39" fontId="0" fillId="0" borderId="0" xfId="0" applyNumberFormat="1"/>
    <xf numFmtId="39" fontId="46" fillId="0" borderId="0" xfId="0" applyNumberFormat="1" applyFont="1"/>
    <xf numFmtId="0" fontId="0" fillId="0" borderId="21" xfId="0" applyBorder="1"/>
    <xf numFmtId="17" fontId="0" fillId="0" borderId="0" xfId="0" applyNumberFormat="1"/>
    <xf numFmtId="0" fontId="10" fillId="0" borderId="0" xfId="0" applyFont="1"/>
    <xf numFmtId="0" fontId="24" fillId="0" borderId="0" xfId="0" applyFont="1" applyAlignment="1">
      <alignment horizontal="center"/>
    </xf>
    <xf numFmtId="4" fontId="10" fillId="0" borderId="21" xfId="0" applyNumberFormat="1" applyFont="1" applyFill="1" applyBorder="1"/>
    <xf numFmtId="4" fontId="0" fillId="0" borderId="21" xfId="0" applyNumberFormat="1" applyFill="1" applyBorder="1"/>
    <xf numFmtId="0" fontId="0" fillId="0" borderId="21" xfId="0" applyFill="1" applyBorder="1"/>
    <xf numFmtId="4" fontId="0" fillId="0" borderId="22" xfId="0" applyNumberFormat="1" applyFill="1" applyBorder="1"/>
  </cellXfs>
  <cellStyles count="2656">
    <cellStyle name="20% - Accent1 10" xfId="16" xr:uid="{00000000-0005-0000-0000-000000000000}"/>
    <cellStyle name="20% - Accent1 10 2" xfId="17" xr:uid="{00000000-0005-0000-0000-000001000000}"/>
    <cellStyle name="20% - Accent1 10 3" xfId="18" xr:uid="{00000000-0005-0000-0000-000002000000}"/>
    <cellStyle name="20% - Accent1 10 4" xfId="19" xr:uid="{00000000-0005-0000-0000-000003000000}"/>
    <cellStyle name="20% - Accent1 11" xfId="20" xr:uid="{00000000-0005-0000-0000-000004000000}"/>
    <cellStyle name="20% - Accent1 11 2" xfId="21" xr:uid="{00000000-0005-0000-0000-000005000000}"/>
    <cellStyle name="20% - Accent1 11 3" xfId="22" xr:uid="{00000000-0005-0000-0000-000006000000}"/>
    <cellStyle name="20% - Accent1 11 4" xfId="23" xr:uid="{00000000-0005-0000-0000-000007000000}"/>
    <cellStyle name="20% - Accent1 12" xfId="24" xr:uid="{00000000-0005-0000-0000-000008000000}"/>
    <cellStyle name="20% - Accent1 12 2" xfId="25" xr:uid="{00000000-0005-0000-0000-000009000000}"/>
    <cellStyle name="20% - Accent1 12 3" xfId="26" xr:uid="{00000000-0005-0000-0000-00000A000000}"/>
    <cellStyle name="20% - Accent1 12 4" xfId="27" xr:uid="{00000000-0005-0000-0000-00000B000000}"/>
    <cellStyle name="20% - Accent1 13" xfId="28" xr:uid="{00000000-0005-0000-0000-00000C000000}"/>
    <cellStyle name="20% - Accent1 13 2" xfId="29" xr:uid="{00000000-0005-0000-0000-00000D000000}"/>
    <cellStyle name="20% - Accent1 13 3" xfId="30" xr:uid="{00000000-0005-0000-0000-00000E000000}"/>
    <cellStyle name="20% - Accent1 13 4" xfId="31" xr:uid="{00000000-0005-0000-0000-00000F000000}"/>
    <cellStyle name="20% - Accent1 14" xfId="32" xr:uid="{00000000-0005-0000-0000-000010000000}"/>
    <cellStyle name="20% - Accent1 15" xfId="33" xr:uid="{00000000-0005-0000-0000-000011000000}"/>
    <cellStyle name="20% - Accent1 16" xfId="34" xr:uid="{00000000-0005-0000-0000-000012000000}"/>
    <cellStyle name="20% - Accent1 17" xfId="2634" xr:uid="{00000000-0005-0000-0000-000013000000}"/>
    <cellStyle name="20% - Accent1 2" xfId="35" xr:uid="{00000000-0005-0000-0000-000014000000}"/>
    <cellStyle name="20% - Accent1 2 2" xfId="36" xr:uid="{00000000-0005-0000-0000-000015000000}"/>
    <cellStyle name="20% - Accent1 2 3" xfId="37" xr:uid="{00000000-0005-0000-0000-000016000000}"/>
    <cellStyle name="20% - Accent1 2 4" xfId="38" xr:uid="{00000000-0005-0000-0000-000017000000}"/>
    <cellStyle name="20% - Accent1 3" xfId="39" xr:uid="{00000000-0005-0000-0000-000018000000}"/>
    <cellStyle name="20% - Accent1 3 2" xfId="40" xr:uid="{00000000-0005-0000-0000-000019000000}"/>
    <cellStyle name="20% - Accent1 3 3" xfId="41" xr:uid="{00000000-0005-0000-0000-00001A000000}"/>
    <cellStyle name="20% - Accent1 3 4" xfId="42" xr:uid="{00000000-0005-0000-0000-00001B000000}"/>
    <cellStyle name="20% - Accent1 4" xfId="43" xr:uid="{00000000-0005-0000-0000-00001C000000}"/>
    <cellStyle name="20% - Accent1 4 2" xfId="44" xr:uid="{00000000-0005-0000-0000-00001D000000}"/>
    <cellStyle name="20% - Accent1 4 3" xfId="45" xr:uid="{00000000-0005-0000-0000-00001E000000}"/>
    <cellStyle name="20% - Accent1 4 4" xfId="46" xr:uid="{00000000-0005-0000-0000-00001F000000}"/>
    <cellStyle name="20% - Accent1 5" xfId="47" xr:uid="{00000000-0005-0000-0000-000020000000}"/>
    <cellStyle name="20% - Accent1 5 2" xfId="48" xr:uid="{00000000-0005-0000-0000-000021000000}"/>
    <cellStyle name="20% - Accent1 5 3" xfId="49" xr:uid="{00000000-0005-0000-0000-000022000000}"/>
    <cellStyle name="20% - Accent1 5 4" xfId="50" xr:uid="{00000000-0005-0000-0000-000023000000}"/>
    <cellStyle name="20% - Accent1 6" xfId="51" xr:uid="{00000000-0005-0000-0000-000024000000}"/>
    <cellStyle name="20% - Accent1 6 2" xfId="52" xr:uid="{00000000-0005-0000-0000-000025000000}"/>
    <cellStyle name="20% - Accent1 6 3" xfId="53" xr:uid="{00000000-0005-0000-0000-000026000000}"/>
    <cellStyle name="20% - Accent1 6 4" xfId="54" xr:uid="{00000000-0005-0000-0000-000027000000}"/>
    <cellStyle name="20% - Accent1 7" xfId="55" xr:uid="{00000000-0005-0000-0000-000028000000}"/>
    <cellStyle name="20% - Accent1 7 2" xfId="56" xr:uid="{00000000-0005-0000-0000-000029000000}"/>
    <cellStyle name="20% - Accent1 7 3" xfId="57" xr:uid="{00000000-0005-0000-0000-00002A000000}"/>
    <cellStyle name="20% - Accent1 7 4" xfId="58" xr:uid="{00000000-0005-0000-0000-00002B000000}"/>
    <cellStyle name="20% - Accent1 8" xfId="59" xr:uid="{00000000-0005-0000-0000-00002C000000}"/>
    <cellStyle name="20% - Accent1 8 2" xfId="60" xr:uid="{00000000-0005-0000-0000-00002D000000}"/>
    <cellStyle name="20% - Accent1 8 3" xfId="61" xr:uid="{00000000-0005-0000-0000-00002E000000}"/>
    <cellStyle name="20% - Accent1 8 4" xfId="62" xr:uid="{00000000-0005-0000-0000-00002F000000}"/>
    <cellStyle name="20% - Accent1 9" xfId="63" xr:uid="{00000000-0005-0000-0000-000030000000}"/>
    <cellStyle name="20% - Accent1 9 2" xfId="64" xr:uid="{00000000-0005-0000-0000-000031000000}"/>
    <cellStyle name="20% - Accent1 9 3" xfId="65" xr:uid="{00000000-0005-0000-0000-000032000000}"/>
    <cellStyle name="20% - Accent1 9 4" xfId="66" xr:uid="{00000000-0005-0000-0000-000033000000}"/>
    <cellStyle name="20% - Accent2 10" xfId="67" xr:uid="{00000000-0005-0000-0000-000034000000}"/>
    <cellStyle name="20% - Accent2 10 2" xfId="68" xr:uid="{00000000-0005-0000-0000-000035000000}"/>
    <cellStyle name="20% - Accent2 10 3" xfId="69" xr:uid="{00000000-0005-0000-0000-000036000000}"/>
    <cellStyle name="20% - Accent2 10 4" xfId="70" xr:uid="{00000000-0005-0000-0000-000037000000}"/>
    <cellStyle name="20% - Accent2 11" xfId="71" xr:uid="{00000000-0005-0000-0000-000038000000}"/>
    <cellStyle name="20% - Accent2 11 2" xfId="72" xr:uid="{00000000-0005-0000-0000-000039000000}"/>
    <cellStyle name="20% - Accent2 11 3" xfId="73" xr:uid="{00000000-0005-0000-0000-00003A000000}"/>
    <cellStyle name="20% - Accent2 11 4" xfId="74" xr:uid="{00000000-0005-0000-0000-00003B000000}"/>
    <cellStyle name="20% - Accent2 12" xfId="75" xr:uid="{00000000-0005-0000-0000-00003C000000}"/>
    <cellStyle name="20% - Accent2 12 2" xfId="76" xr:uid="{00000000-0005-0000-0000-00003D000000}"/>
    <cellStyle name="20% - Accent2 12 3" xfId="77" xr:uid="{00000000-0005-0000-0000-00003E000000}"/>
    <cellStyle name="20% - Accent2 12 4" xfId="78" xr:uid="{00000000-0005-0000-0000-00003F000000}"/>
    <cellStyle name="20% - Accent2 13" xfId="79" xr:uid="{00000000-0005-0000-0000-000040000000}"/>
    <cellStyle name="20% - Accent2 13 2" xfId="80" xr:uid="{00000000-0005-0000-0000-000041000000}"/>
    <cellStyle name="20% - Accent2 13 3" xfId="81" xr:uid="{00000000-0005-0000-0000-000042000000}"/>
    <cellStyle name="20% - Accent2 13 4" xfId="82" xr:uid="{00000000-0005-0000-0000-000043000000}"/>
    <cellStyle name="20% - Accent2 14" xfId="83" xr:uid="{00000000-0005-0000-0000-000044000000}"/>
    <cellStyle name="20% - Accent2 15" xfId="84" xr:uid="{00000000-0005-0000-0000-000045000000}"/>
    <cellStyle name="20% - Accent2 16" xfId="85" xr:uid="{00000000-0005-0000-0000-000046000000}"/>
    <cellStyle name="20% - Accent2 17" xfId="2626" xr:uid="{00000000-0005-0000-0000-000047000000}"/>
    <cellStyle name="20% - Accent2 2" xfId="86" xr:uid="{00000000-0005-0000-0000-000048000000}"/>
    <cellStyle name="20% - Accent2 2 2" xfId="87" xr:uid="{00000000-0005-0000-0000-000049000000}"/>
    <cellStyle name="20% - Accent2 2 3" xfId="88" xr:uid="{00000000-0005-0000-0000-00004A000000}"/>
    <cellStyle name="20% - Accent2 2 4" xfId="89" xr:uid="{00000000-0005-0000-0000-00004B000000}"/>
    <cellStyle name="20% - Accent2 3" xfId="90" xr:uid="{00000000-0005-0000-0000-00004C000000}"/>
    <cellStyle name="20% - Accent2 3 2" xfId="91" xr:uid="{00000000-0005-0000-0000-00004D000000}"/>
    <cellStyle name="20% - Accent2 3 3" xfId="92" xr:uid="{00000000-0005-0000-0000-00004E000000}"/>
    <cellStyle name="20% - Accent2 3 4" xfId="93" xr:uid="{00000000-0005-0000-0000-00004F000000}"/>
    <cellStyle name="20% - Accent2 4" xfId="94" xr:uid="{00000000-0005-0000-0000-000050000000}"/>
    <cellStyle name="20% - Accent2 4 2" xfId="95" xr:uid="{00000000-0005-0000-0000-000051000000}"/>
    <cellStyle name="20% - Accent2 4 3" xfId="96" xr:uid="{00000000-0005-0000-0000-000052000000}"/>
    <cellStyle name="20% - Accent2 4 4" xfId="97" xr:uid="{00000000-0005-0000-0000-000053000000}"/>
    <cellStyle name="20% - Accent2 5" xfId="98" xr:uid="{00000000-0005-0000-0000-000054000000}"/>
    <cellStyle name="20% - Accent2 5 2" xfId="99" xr:uid="{00000000-0005-0000-0000-000055000000}"/>
    <cellStyle name="20% - Accent2 5 3" xfId="100" xr:uid="{00000000-0005-0000-0000-000056000000}"/>
    <cellStyle name="20% - Accent2 5 4" xfId="101" xr:uid="{00000000-0005-0000-0000-000057000000}"/>
    <cellStyle name="20% - Accent2 6" xfId="102" xr:uid="{00000000-0005-0000-0000-000058000000}"/>
    <cellStyle name="20% - Accent2 6 2" xfId="103" xr:uid="{00000000-0005-0000-0000-000059000000}"/>
    <cellStyle name="20% - Accent2 6 3" xfId="104" xr:uid="{00000000-0005-0000-0000-00005A000000}"/>
    <cellStyle name="20% - Accent2 6 4" xfId="105" xr:uid="{00000000-0005-0000-0000-00005B000000}"/>
    <cellStyle name="20% - Accent2 7" xfId="106" xr:uid="{00000000-0005-0000-0000-00005C000000}"/>
    <cellStyle name="20% - Accent2 7 2" xfId="107" xr:uid="{00000000-0005-0000-0000-00005D000000}"/>
    <cellStyle name="20% - Accent2 7 3" xfId="108" xr:uid="{00000000-0005-0000-0000-00005E000000}"/>
    <cellStyle name="20% - Accent2 7 4" xfId="109" xr:uid="{00000000-0005-0000-0000-00005F000000}"/>
    <cellStyle name="20% - Accent2 8" xfId="110" xr:uid="{00000000-0005-0000-0000-000060000000}"/>
    <cellStyle name="20% - Accent2 8 2" xfId="111" xr:uid="{00000000-0005-0000-0000-000061000000}"/>
    <cellStyle name="20% - Accent2 8 3" xfId="112" xr:uid="{00000000-0005-0000-0000-000062000000}"/>
    <cellStyle name="20% - Accent2 8 4" xfId="113" xr:uid="{00000000-0005-0000-0000-000063000000}"/>
    <cellStyle name="20% - Accent2 9" xfId="114" xr:uid="{00000000-0005-0000-0000-000064000000}"/>
    <cellStyle name="20% - Accent2 9 2" xfId="115" xr:uid="{00000000-0005-0000-0000-000065000000}"/>
    <cellStyle name="20% - Accent2 9 3" xfId="116" xr:uid="{00000000-0005-0000-0000-000066000000}"/>
    <cellStyle name="20% - Accent2 9 4" xfId="117" xr:uid="{00000000-0005-0000-0000-000067000000}"/>
    <cellStyle name="20% - Accent3 10" xfId="118" xr:uid="{00000000-0005-0000-0000-000068000000}"/>
    <cellStyle name="20% - Accent3 10 2" xfId="119" xr:uid="{00000000-0005-0000-0000-000069000000}"/>
    <cellStyle name="20% - Accent3 10 3" xfId="120" xr:uid="{00000000-0005-0000-0000-00006A000000}"/>
    <cellStyle name="20% - Accent3 10 4" xfId="121" xr:uid="{00000000-0005-0000-0000-00006B000000}"/>
    <cellStyle name="20% - Accent3 11" xfId="122" xr:uid="{00000000-0005-0000-0000-00006C000000}"/>
    <cellStyle name="20% - Accent3 11 2" xfId="123" xr:uid="{00000000-0005-0000-0000-00006D000000}"/>
    <cellStyle name="20% - Accent3 11 3" xfId="124" xr:uid="{00000000-0005-0000-0000-00006E000000}"/>
    <cellStyle name="20% - Accent3 11 4" xfId="125" xr:uid="{00000000-0005-0000-0000-00006F000000}"/>
    <cellStyle name="20% - Accent3 12" xfId="126" xr:uid="{00000000-0005-0000-0000-000070000000}"/>
    <cellStyle name="20% - Accent3 12 2" xfId="127" xr:uid="{00000000-0005-0000-0000-000071000000}"/>
    <cellStyle name="20% - Accent3 12 3" xfId="128" xr:uid="{00000000-0005-0000-0000-000072000000}"/>
    <cellStyle name="20% - Accent3 12 4" xfId="129" xr:uid="{00000000-0005-0000-0000-000073000000}"/>
    <cellStyle name="20% - Accent3 13" xfId="130" xr:uid="{00000000-0005-0000-0000-000074000000}"/>
    <cellStyle name="20% - Accent3 13 2" xfId="131" xr:uid="{00000000-0005-0000-0000-000075000000}"/>
    <cellStyle name="20% - Accent3 13 3" xfId="132" xr:uid="{00000000-0005-0000-0000-000076000000}"/>
    <cellStyle name="20% - Accent3 13 4" xfId="133" xr:uid="{00000000-0005-0000-0000-000077000000}"/>
    <cellStyle name="20% - Accent3 14" xfId="134" xr:uid="{00000000-0005-0000-0000-000078000000}"/>
    <cellStyle name="20% - Accent3 15" xfId="135" xr:uid="{00000000-0005-0000-0000-000079000000}"/>
    <cellStyle name="20% - Accent3 16" xfId="136" xr:uid="{00000000-0005-0000-0000-00007A000000}"/>
    <cellStyle name="20% - Accent3 17" xfId="2619" xr:uid="{00000000-0005-0000-0000-00007B000000}"/>
    <cellStyle name="20% - Accent3 2" xfId="137" xr:uid="{00000000-0005-0000-0000-00007C000000}"/>
    <cellStyle name="20% - Accent3 2 2" xfId="138" xr:uid="{00000000-0005-0000-0000-00007D000000}"/>
    <cellStyle name="20% - Accent3 2 3" xfId="139" xr:uid="{00000000-0005-0000-0000-00007E000000}"/>
    <cellStyle name="20% - Accent3 2 4" xfId="140" xr:uid="{00000000-0005-0000-0000-00007F000000}"/>
    <cellStyle name="20% - Accent3 3" xfId="141" xr:uid="{00000000-0005-0000-0000-000080000000}"/>
    <cellStyle name="20% - Accent3 3 2" xfId="142" xr:uid="{00000000-0005-0000-0000-000081000000}"/>
    <cellStyle name="20% - Accent3 3 3" xfId="143" xr:uid="{00000000-0005-0000-0000-000082000000}"/>
    <cellStyle name="20% - Accent3 3 4" xfId="144" xr:uid="{00000000-0005-0000-0000-000083000000}"/>
    <cellStyle name="20% - Accent3 4" xfId="145" xr:uid="{00000000-0005-0000-0000-000084000000}"/>
    <cellStyle name="20% - Accent3 4 2" xfId="146" xr:uid="{00000000-0005-0000-0000-000085000000}"/>
    <cellStyle name="20% - Accent3 4 3" xfId="147" xr:uid="{00000000-0005-0000-0000-000086000000}"/>
    <cellStyle name="20% - Accent3 4 4" xfId="148" xr:uid="{00000000-0005-0000-0000-000087000000}"/>
    <cellStyle name="20% - Accent3 5" xfId="149" xr:uid="{00000000-0005-0000-0000-000088000000}"/>
    <cellStyle name="20% - Accent3 5 2" xfId="150" xr:uid="{00000000-0005-0000-0000-000089000000}"/>
    <cellStyle name="20% - Accent3 5 3" xfId="151" xr:uid="{00000000-0005-0000-0000-00008A000000}"/>
    <cellStyle name="20% - Accent3 5 4" xfId="152" xr:uid="{00000000-0005-0000-0000-00008B000000}"/>
    <cellStyle name="20% - Accent3 6" xfId="153" xr:uid="{00000000-0005-0000-0000-00008C000000}"/>
    <cellStyle name="20% - Accent3 6 2" xfId="154" xr:uid="{00000000-0005-0000-0000-00008D000000}"/>
    <cellStyle name="20% - Accent3 6 3" xfId="155" xr:uid="{00000000-0005-0000-0000-00008E000000}"/>
    <cellStyle name="20% - Accent3 6 4" xfId="156" xr:uid="{00000000-0005-0000-0000-00008F000000}"/>
    <cellStyle name="20% - Accent3 7" xfId="157" xr:uid="{00000000-0005-0000-0000-000090000000}"/>
    <cellStyle name="20% - Accent3 7 2" xfId="158" xr:uid="{00000000-0005-0000-0000-000091000000}"/>
    <cellStyle name="20% - Accent3 7 3" xfId="159" xr:uid="{00000000-0005-0000-0000-000092000000}"/>
    <cellStyle name="20% - Accent3 7 4" xfId="160" xr:uid="{00000000-0005-0000-0000-000093000000}"/>
    <cellStyle name="20% - Accent3 8" xfId="161" xr:uid="{00000000-0005-0000-0000-000094000000}"/>
    <cellStyle name="20% - Accent3 8 2" xfId="162" xr:uid="{00000000-0005-0000-0000-000095000000}"/>
    <cellStyle name="20% - Accent3 8 3" xfId="163" xr:uid="{00000000-0005-0000-0000-000096000000}"/>
    <cellStyle name="20% - Accent3 8 4" xfId="164" xr:uid="{00000000-0005-0000-0000-000097000000}"/>
    <cellStyle name="20% - Accent3 9" xfId="165" xr:uid="{00000000-0005-0000-0000-000098000000}"/>
    <cellStyle name="20% - Accent3 9 2" xfId="166" xr:uid="{00000000-0005-0000-0000-000099000000}"/>
    <cellStyle name="20% - Accent3 9 3" xfId="167" xr:uid="{00000000-0005-0000-0000-00009A000000}"/>
    <cellStyle name="20% - Accent3 9 4" xfId="168" xr:uid="{00000000-0005-0000-0000-00009B000000}"/>
    <cellStyle name="20% - Accent4 10" xfId="169" xr:uid="{00000000-0005-0000-0000-00009C000000}"/>
    <cellStyle name="20% - Accent4 10 2" xfId="170" xr:uid="{00000000-0005-0000-0000-00009D000000}"/>
    <cellStyle name="20% - Accent4 10 3" xfId="171" xr:uid="{00000000-0005-0000-0000-00009E000000}"/>
    <cellStyle name="20% - Accent4 10 4" xfId="172" xr:uid="{00000000-0005-0000-0000-00009F000000}"/>
    <cellStyle name="20% - Accent4 11" xfId="173" xr:uid="{00000000-0005-0000-0000-0000A0000000}"/>
    <cellStyle name="20% - Accent4 11 2" xfId="174" xr:uid="{00000000-0005-0000-0000-0000A1000000}"/>
    <cellStyle name="20% - Accent4 11 3" xfId="175" xr:uid="{00000000-0005-0000-0000-0000A2000000}"/>
    <cellStyle name="20% - Accent4 11 4" xfId="176" xr:uid="{00000000-0005-0000-0000-0000A3000000}"/>
    <cellStyle name="20% - Accent4 12" xfId="177" xr:uid="{00000000-0005-0000-0000-0000A4000000}"/>
    <cellStyle name="20% - Accent4 12 2" xfId="178" xr:uid="{00000000-0005-0000-0000-0000A5000000}"/>
    <cellStyle name="20% - Accent4 12 3" xfId="179" xr:uid="{00000000-0005-0000-0000-0000A6000000}"/>
    <cellStyle name="20% - Accent4 12 4" xfId="180" xr:uid="{00000000-0005-0000-0000-0000A7000000}"/>
    <cellStyle name="20% - Accent4 13" xfId="181" xr:uid="{00000000-0005-0000-0000-0000A8000000}"/>
    <cellStyle name="20% - Accent4 13 2" xfId="182" xr:uid="{00000000-0005-0000-0000-0000A9000000}"/>
    <cellStyle name="20% - Accent4 13 3" xfId="183" xr:uid="{00000000-0005-0000-0000-0000AA000000}"/>
    <cellStyle name="20% - Accent4 13 4" xfId="184" xr:uid="{00000000-0005-0000-0000-0000AB000000}"/>
    <cellStyle name="20% - Accent4 14" xfId="185" xr:uid="{00000000-0005-0000-0000-0000AC000000}"/>
    <cellStyle name="20% - Accent4 15" xfId="186" xr:uid="{00000000-0005-0000-0000-0000AD000000}"/>
    <cellStyle name="20% - Accent4 16" xfId="187" xr:uid="{00000000-0005-0000-0000-0000AE000000}"/>
    <cellStyle name="20% - Accent4 17" xfId="2640" xr:uid="{00000000-0005-0000-0000-0000AF000000}"/>
    <cellStyle name="20% - Accent4 2" xfId="188" xr:uid="{00000000-0005-0000-0000-0000B0000000}"/>
    <cellStyle name="20% - Accent4 2 2" xfId="189" xr:uid="{00000000-0005-0000-0000-0000B1000000}"/>
    <cellStyle name="20% - Accent4 2 3" xfId="190" xr:uid="{00000000-0005-0000-0000-0000B2000000}"/>
    <cellStyle name="20% - Accent4 2 4" xfId="191" xr:uid="{00000000-0005-0000-0000-0000B3000000}"/>
    <cellStyle name="20% - Accent4 3" xfId="192" xr:uid="{00000000-0005-0000-0000-0000B4000000}"/>
    <cellStyle name="20% - Accent4 3 2" xfId="193" xr:uid="{00000000-0005-0000-0000-0000B5000000}"/>
    <cellStyle name="20% - Accent4 3 3" xfId="194" xr:uid="{00000000-0005-0000-0000-0000B6000000}"/>
    <cellStyle name="20% - Accent4 3 4" xfId="195" xr:uid="{00000000-0005-0000-0000-0000B7000000}"/>
    <cellStyle name="20% - Accent4 4" xfId="196" xr:uid="{00000000-0005-0000-0000-0000B8000000}"/>
    <cellStyle name="20% - Accent4 4 2" xfId="197" xr:uid="{00000000-0005-0000-0000-0000B9000000}"/>
    <cellStyle name="20% - Accent4 4 3" xfId="198" xr:uid="{00000000-0005-0000-0000-0000BA000000}"/>
    <cellStyle name="20% - Accent4 4 4" xfId="199" xr:uid="{00000000-0005-0000-0000-0000BB000000}"/>
    <cellStyle name="20% - Accent4 5" xfId="200" xr:uid="{00000000-0005-0000-0000-0000BC000000}"/>
    <cellStyle name="20% - Accent4 5 2" xfId="201" xr:uid="{00000000-0005-0000-0000-0000BD000000}"/>
    <cellStyle name="20% - Accent4 5 3" xfId="202" xr:uid="{00000000-0005-0000-0000-0000BE000000}"/>
    <cellStyle name="20% - Accent4 5 4" xfId="203" xr:uid="{00000000-0005-0000-0000-0000BF000000}"/>
    <cellStyle name="20% - Accent4 6" xfId="204" xr:uid="{00000000-0005-0000-0000-0000C0000000}"/>
    <cellStyle name="20% - Accent4 6 2" xfId="205" xr:uid="{00000000-0005-0000-0000-0000C1000000}"/>
    <cellStyle name="20% - Accent4 6 3" xfId="206" xr:uid="{00000000-0005-0000-0000-0000C2000000}"/>
    <cellStyle name="20% - Accent4 6 4" xfId="207" xr:uid="{00000000-0005-0000-0000-0000C3000000}"/>
    <cellStyle name="20% - Accent4 7" xfId="208" xr:uid="{00000000-0005-0000-0000-0000C4000000}"/>
    <cellStyle name="20% - Accent4 7 2" xfId="209" xr:uid="{00000000-0005-0000-0000-0000C5000000}"/>
    <cellStyle name="20% - Accent4 7 3" xfId="210" xr:uid="{00000000-0005-0000-0000-0000C6000000}"/>
    <cellStyle name="20% - Accent4 7 4" xfId="211" xr:uid="{00000000-0005-0000-0000-0000C7000000}"/>
    <cellStyle name="20% - Accent4 8" xfId="212" xr:uid="{00000000-0005-0000-0000-0000C8000000}"/>
    <cellStyle name="20% - Accent4 8 2" xfId="213" xr:uid="{00000000-0005-0000-0000-0000C9000000}"/>
    <cellStyle name="20% - Accent4 8 3" xfId="214" xr:uid="{00000000-0005-0000-0000-0000CA000000}"/>
    <cellStyle name="20% - Accent4 8 4" xfId="215" xr:uid="{00000000-0005-0000-0000-0000CB000000}"/>
    <cellStyle name="20% - Accent4 9" xfId="216" xr:uid="{00000000-0005-0000-0000-0000CC000000}"/>
    <cellStyle name="20% - Accent4 9 2" xfId="217" xr:uid="{00000000-0005-0000-0000-0000CD000000}"/>
    <cellStyle name="20% - Accent4 9 3" xfId="218" xr:uid="{00000000-0005-0000-0000-0000CE000000}"/>
    <cellStyle name="20% - Accent4 9 4" xfId="219" xr:uid="{00000000-0005-0000-0000-0000CF000000}"/>
    <cellStyle name="20% - Accent5 10" xfId="220" xr:uid="{00000000-0005-0000-0000-0000D0000000}"/>
    <cellStyle name="20% - Accent5 10 2" xfId="221" xr:uid="{00000000-0005-0000-0000-0000D1000000}"/>
    <cellStyle name="20% - Accent5 10 3" xfId="222" xr:uid="{00000000-0005-0000-0000-0000D2000000}"/>
    <cellStyle name="20% - Accent5 10 4" xfId="223" xr:uid="{00000000-0005-0000-0000-0000D3000000}"/>
    <cellStyle name="20% - Accent5 11" xfId="224" xr:uid="{00000000-0005-0000-0000-0000D4000000}"/>
    <cellStyle name="20% - Accent5 11 2" xfId="225" xr:uid="{00000000-0005-0000-0000-0000D5000000}"/>
    <cellStyle name="20% - Accent5 11 3" xfId="226" xr:uid="{00000000-0005-0000-0000-0000D6000000}"/>
    <cellStyle name="20% - Accent5 11 4" xfId="227" xr:uid="{00000000-0005-0000-0000-0000D7000000}"/>
    <cellStyle name="20% - Accent5 12" xfId="228" xr:uid="{00000000-0005-0000-0000-0000D8000000}"/>
    <cellStyle name="20% - Accent5 12 2" xfId="229" xr:uid="{00000000-0005-0000-0000-0000D9000000}"/>
    <cellStyle name="20% - Accent5 12 3" xfId="230" xr:uid="{00000000-0005-0000-0000-0000DA000000}"/>
    <cellStyle name="20% - Accent5 12 4" xfId="231" xr:uid="{00000000-0005-0000-0000-0000DB000000}"/>
    <cellStyle name="20% - Accent5 13" xfId="232" xr:uid="{00000000-0005-0000-0000-0000DC000000}"/>
    <cellStyle name="20% - Accent5 13 2" xfId="233" xr:uid="{00000000-0005-0000-0000-0000DD000000}"/>
    <cellStyle name="20% - Accent5 13 3" xfId="234" xr:uid="{00000000-0005-0000-0000-0000DE000000}"/>
    <cellStyle name="20% - Accent5 13 4" xfId="235" xr:uid="{00000000-0005-0000-0000-0000DF000000}"/>
    <cellStyle name="20% - Accent5 14" xfId="236" xr:uid="{00000000-0005-0000-0000-0000E0000000}"/>
    <cellStyle name="20% - Accent5 15" xfId="237" xr:uid="{00000000-0005-0000-0000-0000E1000000}"/>
    <cellStyle name="20% - Accent5 16" xfId="238" xr:uid="{00000000-0005-0000-0000-0000E2000000}"/>
    <cellStyle name="20% - Accent5 17" xfId="2632" xr:uid="{00000000-0005-0000-0000-0000E3000000}"/>
    <cellStyle name="20% - Accent5 2" xfId="239" xr:uid="{00000000-0005-0000-0000-0000E4000000}"/>
    <cellStyle name="20% - Accent5 2 2" xfId="240" xr:uid="{00000000-0005-0000-0000-0000E5000000}"/>
    <cellStyle name="20% - Accent5 2 3" xfId="241" xr:uid="{00000000-0005-0000-0000-0000E6000000}"/>
    <cellStyle name="20% - Accent5 2 4" xfId="242" xr:uid="{00000000-0005-0000-0000-0000E7000000}"/>
    <cellStyle name="20% - Accent5 3" xfId="243" xr:uid="{00000000-0005-0000-0000-0000E8000000}"/>
    <cellStyle name="20% - Accent5 3 2" xfId="244" xr:uid="{00000000-0005-0000-0000-0000E9000000}"/>
    <cellStyle name="20% - Accent5 3 3" xfId="245" xr:uid="{00000000-0005-0000-0000-0000EA000000}"/>
    <cellStyle name="20% - Accent5 3 4" xfId="246" xr:uid="{00000000-0005-0000-0000-0000EB000000}"/>
    <cellStyle name="20% - Accent5 4" xfId="247" xr:uid="{00000000-0005-0000-0000-0000EC000000}"/>
    <cellStyle name="20% - Accent5 4 2" xfId="248" xr:uid="{00000000-0005-0000-0000-0000ED000000}"/>
    <cellStyle name="20% - Accent5 4 3" xfId="249" xr:uid="{00000000-0005-0000-0000-0000EE000000}"/>
    <cellStyle name="20% - Accent5 4 4" xfId="250" xr:uid="{00000000-0005-0000-0000-0000EF000000}"/>
    <cellStyle name="20% - Accent5 5" xfId="251" xr:uid="{00000000-0005-0000-0000-0000F0000000}"/>
    <cellStyle name="20% - Accent5 5 2" xfId="252" xr:uid="{00000000-0005-0000-0000-0000F1000000}"/>
    <cellStyle name="20% - Accent5 5 3" xfId="253" xr:uid="{00000000-0005-0000-0000-0000F2000000}"/>
    <cellStyle name="20% - Accent5 5 4" xfId="254" xr:uid="{00000000-0005-0000-0000-0000F3000000}"/>
    <cellStyle name="20% - Accent5 6" xfId="255" xr:uid="{00000000-0005-0000-0000-0000F4000000}"/>
    <cellStyle name="20% - Accent5 6 2" xfId="256" xr:uid="{00000000-0005-0000-0000-0000F5000000}"/>
    <cellStyle name="20% - Accent5 6 3" xfId="257" xr:uid="{00000000-0005-0000-0000-0000F6000000}"/>
    <cellStyle name="20% - Accent5 6 4" xfId="258" xr:uid="{00000000-0005-0000-0000-0000F7000000}"/>
    <cellStyle name="20% - Accent5 7" xfId="259" xr:uid="{00000000-0005-0000-0000-0000F8000000}"/>
    <cellStyle name="20% - Accent5 7 2" xfId="260" xr:uid="{00000000-0005-0000-0000-0000F9000000}"/>
    <cellStyle name="20% - Accent5 7 3" xfId="261" xr:uid="{00000000-0005-0000-0000-0000FA000000}"/>
    <cellStyle name="20% - Accent5 7 4" xfId="262" xr:uid="{00000000-0005-0000-0000-0000FB000000}"/>
    <cellStyle name="20% - Accent5 8" xfId="263" xr:uid="{00000000-0005-0000-0000-0000FC000000}"/>
    <cellStyle name="20% - Accent5 8 2" xfId="264" xr:uid="{00000000-0005-0000-0000-0000FD000000}"/>
    <cellStyle name="20% - Accent5 8 3" xfId="265" xr:uid="{00000000-0005-0000-0000-0000FE000000}"/>
    <cellStyle name="20% - Accent5 8 4" xfId="266" xr:uid="{00000000-0005-0000-0000-0000FF000000}"/>
    <cellStyle name="20% - Accent5 9" xfId="267" xr:uid="{00000000-0005-0000-0000-000000010000}"/>
    <cellStyle name="20% - Accent5 9 2" xfId="268" xr:uid="{00000000-0005-0000-0000-000001010000}"/>
    <cellStyle name="20% - Accent5 9 3" xfId="269" xr:uid="{00000000-0005-0000-0000-000002010000}"/>
    <cellStyle name="20% - Accent5 9 4" xfId="270" xr:uid="{00000000-0005-0000-0000-000003010000}"/>
    <cellStyle name="20% - Accent6 10" xfId="271" xr:uid="{00000000-0005-0000-0000-000004010000}"/>
    <cellStyle name="20% - Accent6 10 2" xfId="272" xr:uid="{00000000-0005-0000-0000-000005010000}"/>
    <cellStyle name="20% - Accent6 10 3" xfId="273" xr:uid="{00000000-0005-0000-0000-000006010000}"/>
    <cellStyle name="20% - Accent6 10 4" xfId="274" xr:uid="{00000000-0005-0000-0000-000007010000}"/>
    <cellStyle name="20% - Accent6 11" xfId="275" xr:uid="{00000000-0005-0000-0000-000008010000}"/>
    <cellStyle name="20% - Accent6 11 2" xfId="276" xr:uid="{00000000-0005-0000-0000-000009010000}"/>
    <cellStyle name="20% - Accent6 11 3" xfId="277" xr:uid="{00000000-0005-0000-0000-00000A010000}"/>
    <cellStyle name="20% - Accent6 11 4" xfId="278" xr:uid="{00000000-0005-0000-0000-00000B010000}"/>
    <cellStyle name="20% - Accent6 12" xfId="279" xr:uid="{00000000-0005-0000-0000-00000C010000}"/>
    <cellStyle name="20% - Accent6 12 2" xfId="280" xr:uid="{00000000-0005-0000-0000-00000D010000}"/>
    <cellStyle name="20% - Accent6 12 3" xfId="281" xr:uid="{00000000-0005-0000-0000-00000E010000}"/>
    <cellStyle name="20% - Accent6 12 4" xfId="282" xr:uid="{00000000-0005-0000-0000-00000F010000}"/>
    <cellStyle name="20% - Accent6 13" xfId="283" xr:uid="{00000000-0005-0000-0000-000010010000}"/>
    <cellStyle name="20% - Accent6 13 2" xfId="284" xr:uid="{00000000-0005-0000-0000-000011010000}"/>
    <cellStyle name="20% - Accent6 13 3" xfId="285" xr:uid="{00000000-0005-0000-0000-000012010000}"/>
    <cellStyle name="20% - Accent6 13 4" xfId="286" xr:uid="{00000000-0005-0000-0000-000013010000}"/>
    <cellStyle name="20% - Accent6 14" xfId="287" xr:uid="{00000000-0005-0000-0000-000014010000}"/>
    <cellStyle name="20% - Accent6 15" xfId="288" xr:uid="{00000000-0005-0000-0000-000015010000}"/>
    <cellStyle name="20% - Accent6 16" xfId="289" xr:uid="{00000000-0005-0000-0000-000016010000}"/>
    <cellStyle name="20% - Accent6 17" xfId="2624" xr:uid="{00000000-0005-0000-0000-000017010000}"/>
    <cellStyle name="20% - Accent6 2" xfId="290" xr:uid="{00000000-0005-0000-0000-000018010000}"/>
    <cellStyle name="20% - Accent6 2 2" xfId="291" xr:uid="{00000000-0005-0000-0000-000019010000}"/>
    <cellStyle name="20% - Accent6 2 3" xfId="292" xr:uid="{00000000-0005-0000-0000-00001A010000}"/>
    <cellStyle name="20% - Accent6 2 4" xfId="293" xr:uid="{00000000-0005-0000-0000-00001B010000}"/>
    <cellStyle name="20% - Accent6 3" xfId="294" xr:uid="{00000000-0005-0000-0000-00001C010000}"/>
    <cellStyle name="20% - Accent6 3 2" xfId="295" xr:uid="{00000000-0005-0000-0000-00001D010000}"/>
    <cellStyle name="20% - Accent6 3 3" xfId="296" xr:uid="{00000000-0005-0000-0000-00001E010000}"/>
    <cellStyle name="20% - Accent6 3 4" xfId="297" xr:uid="{00000000-0005-0000-0000-00001F010000}"/>
    <cellStyle name="20% - Accent6 4" xfId="298" xr:uid="{00000000-0005-0000-0000-000020010000}"/>
    <cellStyle name="20% - Accent6 4 2" xfId="299" xr:uid="{00000000-0005-0000-0000-000021010000}"/>
    <cellStyle name="20% - Accent6 4 3" xfId="300" xr:uid="{00000000-0005-0000-0000-000022010000}"/>
    <cellStyle name="20% - Accent6 4 4" xfId="301" xr:uid="{00000000-0005-0000-0000-000023010000}"/>
    <cellStyle name="20% - Accent6 5" xfId="302" xr:uid="{00000000-0005-0000-0000-000024010000}"/>
    <cellStyle name="20% - Accent6 5 2" xfId="303" xr:uid="{00000000-0005-0000-0000-000025010000}"/>
    <cellStyle name="20% - Accent6 5 3" xfId="304" xr:uid="{00000000-0005-0000-0000-000026010000}"/>
    <cellStyle name="20% - Accent6 5 4" xfId="305" xr:uid="{00000000-0005-0000-0000-000027010000}"/>
    <cellStyle name="20% - Accent6 6" xfId="306" xr:uid="{00000000-0005-0000-0000-000028010000}"/>
    <cellStyle name="20% - Accent6 6 2" xfId="307" xr:uid="{00000000-0005-0000-0000-000029010000}"/>
    <cellStyle name="20% - Accent6 6 3" xfId="308" xr:uid="{00000000-0005-0000-0000-00002A010000}"/>
    <cellStyle name="20% - Accent6 6 4" xfId="309" xr:uid="{00000000-0005-0000-0000-00002B010000}"/>
    <cellStyle name="20% - Accent6 7" xfId="310" xr:uid="{00000000-0005-0000-0000-00002C010000}"/>
    <cellStyle name="20% - Accent6 7 2" xfId="311" xr:uid="{00000000-0005-0000-0000-00002D010000}"/>
    <cellStyle name="20% - Accent6 7 3" xfId="312" xr:uid="{00000000-0005-0000-0000-00002E010000}"/>
    <cellStyle name="20% - Accent6 7 4" xfId="313" xr:uid="{00000000-0005-0000-0000-00002F010000}"/>
    <cellStyle name="20% - Accent6 8" xfId="314" xr:uid="{00000000-0005-0000-0000-000030010000}"/>
    <cellStyle name="20% - Accent6 8 2" xfId="315" xr:uid="{00000000-0005-0000-0000-000031010000}"/>
    <cellStyle name="20% - Accent6 8 3" xfId="316" xr:uid="{00000000-0005-0000-0000-000032010000}"/>
    <cellStyle name="20% - Accent6 8 4" xfId="317" xr:uid="{00000000-0005-0000-0000-000033010000}"/>
    <cellStyle name="20% - Accent6 9" xfId="318" xr:uid="{00000000-0005-0000-0000-000034010000}"/>
    <cellStyle name="20% - Accent6 9 2" xfId="319" xr:uid="{00000000-0005-0000-0000-000035010000}"/>
    <cellStyle name="20% - Accent6 9 3" xfId="320" xr:uid="{00000000-0005-0000-0000-000036010000}"/>
    <cellStyle name="20% - Accent6 9 4" xfId="321" xr:uid="{00000000-0005-0000-0000-000037010000}"/>
    <cellStyle name="40% - Accent1 10" xfId="322" xr:uid="{00000000-0005-0000-0000-000038010000}"/>
    <cellStyle name="40% - Accent1 10 2" xfId="323" xr:uid="{00000000-0005-0000-0000-000039010000}"/>
    <cellStyle name="40% - Accent1 10 3" xfId="324" xr:uid="{00000000-0005-0000-0000-00003A010000}"/>
    <cellStyle name="40% - Accent1 10 4" xfId="325" xr:uid="{00000000-0005-0000-0000-00003B010000}"/>
    <cellStyle name="40% - Accent1 11" xfId="326" xr:uid="{00000000-0005-0000-0000-00003C010000}"/>
    <cellStyle name="40% - Accent1 11 2" xfId="327" xr:uid="{00000000-0005-0000-0000-00003D010000}"/>
    <cellStyle name="40% - Accent1 11 3" xfId="328" xr:uid="{00000000-0005-0000-0000-00003E010000}"/>
    <cellStyle name="40% - Accent1 11 4" xfId="329" xr:uid="{00000000-0005-0000-0000-00003F010000}"/>
    <cellStyle name="40% - Accent1 12" xfId="330" xr:uid="{00000000-0005-0000-0000-000040010000}"/>
    <cellStyle name="40% - Accent1 12 2" xfId="331" xr:uid="{00000000-0005-0000-0000-000041010000}"/>
    <cellStyle name="40% - Accent1 12 3" xfId="332" xr:uid="{00000000-0005-0000-0000-000042010000}"/>
    <cellStyle name="40% - Accent1 12 4" xfId="333" xr:uid="{00000000-0005-0000-0000-000043010000}"/>
    <cellStyle name="40% - Accent1 13" xfId="334" xr:uid="{00000000-0005-0000-0000-000044010000}"/>
    <cellStyle name="40% - Accent1 13 2" xfId="335" xr:uid="{00000000-0005-0000-0000-000045010000}"/>
    <cellStyle name="40% - Accent1 13 3" xfId="336" xr:uid="{00000000-0005-0000-0000-000046010000}"/>
    <cellStyle name="40% - Accent1 13 4" xfId="337" xr:uid="{00000000-0005-0000-0000-000047010000}"/>
    <cellStyle name="40% - Accent1 14" xfId="338" xr:uid="{00000000-0005-0000-0000-000048010000}"/>
    <cellStyle name="40% - Accent1 15" xfId="339" xr:uid="{00000000-0005-0000-0000-000049010000}"/>
    <cellStyle name="40% - Accent1 16" xfId="340" xr:uid="{00000000-0005-0000-0000-00004A010000}"/>
    <cellStyle name="40% - Accent1 17" xfId="2645" xr:uid="{00000000-0005-0000-0000-00004B010000}"/>
    <cellStyle name="40% - Accent1 2" xfId="341" xr:uid="{00000000-0005-0000-0000-00004C010000}"/>
    <cellStyle name="40% - Accent1 2 2" xfId="342" xr:uid="{00000000-0005-0000-0000-00004D010000}"/>
    <cellStyle name="40% - Accent1 2 3" xfId="343" xr:uid="{00000000-0005-0000-0000-00004E010000}"/>
    <cellStyle name="40% - Accent1 2 4" xfId="344" xr:uid="{00000000-0005-0000-0000-00004F010000}"/>
    <cellStyle name="40% - Accent1 3" xfId="345" xr:uid="{00000000-0005-0000-0000-000050010000}"/>
    <cellStyle name="40% - Accent1 3 2" xfId="346" xr:uid="{00000000-0005-0000-0000-000051010000}"/>
    <cellStyle name="40% - Accent1 3 3" xfId="347" xr:uid="{00000000-0005-0000-0000-000052010000}"/>
    <cellStyle name="40% - Accent1 3 4" xfId="348" xr:uid="{00000000-0005-0000-0000-000053010000}"/>
    <cellStyle name="40% - Accent1 4" xfId="349" xr:uid="{00000000-0005-0000-0000-000054010000}"/>
    <cellStyle name="40% - Accent1 4 2" xfId="350" xr:uid="{00000000-0005-0000-0000-000055010000}"/>
    <cellStyle name="40% - Accent1 4 3" xfId="351" xr:uid="{00000000-0005-0000-0000-000056010000}"/>
    <cellStyle name="40% - Accent1 4 4" xfId="352" xr:uid="{00000000-0005-0000-0000-000057010000}"/>
    <cellStyle name="40% - Accent1 5" xfId="353" xr:uid="{00000000-0005-0000-0000-000058010000}"/>
    <cellStyle name="40% - Accent1 5 2" xfId="354" xr:uid="{00000000-0005-0000-0000-000059010000}"/>
    <cellStyle name="40% - Accent1 5 3" xfId="355" xr:uid="{00000000-0005-0000-0000-00005A010000}"/>
    <cellStyle name="40% - Accent1 5 4" xfId="356" xr:uid="{00000000-0005-0000-0000-00005B010000}"/>
    <cellStyle name="40% - Accent1 6" xfId="357" xr:uid="{00000000-0005-0000-0000-00005C010000}"/>
    <cellStyle name="40% - Accent1 6 2" xfId="358" xr:uid="{00000000-0005-0000-0000-00005D010000}"/>
    <cellStyle name="40% - Accent1 6 3" xfId="359" xr:uid="{00000000-0005-0000-0000-00005E010000}"/>
    <cellStyle name="40% - Accent1 6 4" xfId="360" xr:uid="{00000000-0005-0000-0000-00005F010000}"/>
    <cellStyle name="40% - Accent1 7" xfId="361" xr:uid="{00000000-0005-0000-0000-000060010000}"/>
    <cellStyle name="40% - Accent1 7 2" xfId="362" xr:uid="{00000000-0005-0000-0000-000061010000}"/>
    <cellStyle name="40% - Accent1 7 3" xfId="363" xr:uid="{00000000-0005-0000-0000-000062010000}"/>
    <cellStyle name="40% - Accent1 7 4" xfId="364" xr:uid="{00000000-0005-0000-0000-000063010000}"/>
    <cellStyle name="40% - Accent1 8" xfId="365" xr:uid="{00000000-0005-0000-0000-000064010000}"/>
    <cellStyle name="40% - Accent1 8 2" xfId="366" xr:uid="{00000000-0005-0000-0000-000065010000}"/>
    <cellStyle name="40% - Accent1 8 3" xfId="367" xr:uid="{00000000-0005-0000-0000-000066010000}"/>
    <cellStyle name="40% - Accent1 8 4" xfId="368" xr:uid="{00000000-0005-0000-0000-000067010000}"/>
    <cellStyle name="40% - Accent1 9" xfId="369" xr:uid="{00000000-0005-0000-0000-000068010000}"/>
    <cellStyle name="40% - Accent1 9 2" xfId="370" xr:uid="{00000000-0005-0000-0000-000069010000}"/>
    <cellStyle name="40% - Accent1 9 3" xfId="371" xr:uid="{00000000-0005-0000-0000-00006A010000}"/>
    <cellStyle name="40% - Accent1 9 4" xfId="372" xr:uid="{00000000-0005-0000-0000-00006B010000}"/>
    <cellStyle name="40% - Accent2 10" xfId="373" xr:uid="{00000000-0005-0000-0000-00006C010000}"/>
    <cellStyle name="40% - Accent2 10 2" xfId="374" xr:uid="{00000000-0005-0000-0000-00006D010000}"/>
    <cellStyle name="40% - Accent2 10 3" xfId="375" xr:uid="{00000000-0005-0000-0000-00006E010000}"/>
    <cellStyle name="40% - Accent2 10 4" xfId="376" xr:uid="{00000000-0005-0000-0000-00006F010000}"/>
    <cellStyle name="40% - Accent2 11" xfId="377" xr:uid="{00000000-0005-0000-0000-000070010000}"/>
    <cellStyle name="40% - Accent2 11 2" xfId="378" xr:uid="{00000000-0005-0000-0000-000071010000}"/>
    <cellStyle name="40% - Accent2 11 3" xfId="379" xr:uid="{00000000-0005-0000-0000-000072010000}"/>
    <cellStyle name="40% - Accent2 11 4" xfId="380" xr:uid="{00000000-0005-0000-0000-000073010000}"/>
    <cellStyle name="40% - Accent2 12" xfId="381" xr:uid="{00000000-0005-0000-0000-000074010000}"/>
    <cellStyle name="40% - Accent2 12 2" xfId="382" xr:uid="{00000000-0005-0000-0000-000075010000}"/>
    <cellStyle name="40% - Accent2 12 3" xfId="383" xr:uid="{00000000-0005-0000-0000-000076010000}"/>
    <cellStyle name="40% - Accent2 12 4" xfId="384" xr:uid="{00000000-0005-0000-0000-000077010000}"/>
    <cellStyle name="40% - Accent2 13" xfId="385" xr:uid="{00000000-0005-0000-0000-000078010000}"/>
    <cellStyle name="40% - Accent2 13 2" xfId="386" xr:uid="{00000000-0005-0000-0000-000079010000}"/>
    <cellStyle name="40% - Accent2 13 3" xfId="387" xr:uid="{00000000-0005-0000-0000-00007A010000}"/>
    <cellStyle name="40% - Accent2 13 4" xfId="388" xr:uid="{00000000-0005-0000-0000-00007B010000}"/>
    <cellStyle name="40% - Accent2 14" xfId="389" xr:uid="{00000000-0005-0000-0000-00007C010000}"/>
    <cellStyle name="40% - Accent2 15" xfId="390" xr:uid="{00000000-0005-0000-0000-00007D010000}"/>
    <cellStyle name="40% - Accent2 16" xfId="391" xr:uid="{00000000-0005-0000-0000-00007E010000}"/>
    <cellStyle name="40% - Accent2 17" xfId="2637" xr:uid="{00000000-0005-0000-0000-00007F010000}"/>
    <cellStyle name="40% - Accent2 2" xfId="392" xr:uid="{00000000-0005-0000-0000-000080010000}"/>
    <cellStyle name="40% - Accent2 2 2" xfId="393" xr:uid="{00000000-0005-0000-0000-000081010000}"/>
    <cellStyle name="40% - Accent2 2 3" xfId="394" xr:uid="{00000000-0005-0000-0000-000082010000}"/>
    <cellStyle name="40% - Accent2 2 4" xfId="395" xr:uid="{00000000-0005-0000-0000-000083010000}"/>
    <cellStyle name="40% - Accent2 3" xfId="396" xr:uid="{00000000-0005-0000-0000-000084010000}"/>
    <cellStyle name="40% - Accent2 3 2" xfId="397" xr:uid="{00000000-0005-0000-0000-000085010000}"/>
    <cellStyle name="40% - Accent2 3 3" xfId="398" xr:uid="{00000000-0005-0000-0000-000086010000}"/>
    <cellStyle name="40% - Accent2 3 4" xfId="399" xr:uid="{00000000-0005-0000-0000-000087010000}"/>
    <cellStyle name="40% - Accent2 4" xfId="400" xr:uid="{00000000-0005-0000-0000-000088010000}"/>
    <cellStyle name="40% - Accent2 4 2" xfId="401" xr:uid="{00000000-0005-0000-0000-000089010000}"/>
    <cellStyle name="40% - Accent2 4 3" xfId="402" xr:uid="{00000000-0005-0000-0000-00008A010000}"/>
    <cellStyle name="40% - Accent2 4 4" xfId="403" xr:uid="{00000000-0005-0000-0000-00008B010000}"/>
    <cellStyle name="40% - Accent2 5" xfId="404" xr:uid="{00000000-0005-0000-0000-00008C010000}"/>
    <cellStyle name="40% - Accent2 5 2" xfId="405" xr:uid="{00000000-0005-0000-0000-00008D010000}"/>
    <cellStyle name="40% - Accent2 5 3" xfId="406" xr:uid="{00000000-0005-0000-0000-00008E010000}"/>
    <cellStyle name="40% - Accent2 5 4" xfId="407" xr:uid="{00000000-0005-0000-0000-00008F010000}"/>
    <cellStyle name="40% - Accent2 6" xfId="408" xr:uid="{00000000-0005-0000-0000-000090010000}"/>
    <cellStyle name="40% - Accent2 6 2" xfId="409" xr:uid="{00000000-0005-0000-0000-000091010000}"/>
    <cellStyle name="40% - Accent2 6 3" xfId="410" xr:uid="{00000000-0005-0000-0000-000092010000}"/>
    <cellStyle name="40% - Accent2 6 4" xfId="411" xr:uid="{00000000-0005-0000-0000-000093010000}"/>
    <cellStyle name="40% - Accent2 7" xfId="412" xr:uid="{00000000-0005-0000-0000-000094010000}"/>
    <cellStyle name="40% - Accent2 7 2" xfId="413" xr:uid="{00000000-0005-0000-0000-000095010000}"/>
    <cellStyle name="40% - Accent2 7 3" xfId="414" xr:uid="{00000000-0005-0000-0000-000096010000}"/>
    <cellStyle name="40% - Accent2 7 4" xfId="415" xr:uid="{00000000-0005-0000-0000-000097010000}"/>
    <cellStyle name="40% - Accent2 8" xfId="416" xr:uid="{00000000-0005-0000-0000-000098010000}"/>
    <cellStyle name="40% - Accent2 8 2" xfId="417" xr:uid="{00000000-0005-0000-0000-000099010000}"/>
    <cellStyle name="40% - Accent2 8 3" xfId="418" xr:uid="{00000000-0005-0000-0000-00009A010000}"/>
    <cellStyle name="40% - Accent2 8 4" xfId="419" xr:uid="{00000000-0005-0000-0000-00009B010000}"/>
    <cellStyle name="40% - Accent2 9" xfId="420" xr:uid="{00000000-0005-0000-0000-00009C010000}"/>
    <cellStyle name="40% - Accent2 9 2" xfId="421" xr:uid="{00000000-0005-0000-0000-00009D010000}"/>
    <cellStyle name="40% - Accent2 9 3" xfId="422" xr:uid="{00000000-0005-0000-0000-00009E010000}"/>
    <cellStyle name="40% - Accent2 9 4" xfId="423" xr:uid="{00000000-0005-0000-0000-00009F010000}"/>
    <cellStyle name="40% - Accent3 10" xfId="424" xr:uid="{00000000-0005-0000-0000-0000A0010000}"/>
    <cellStyle name="40% - Accent3 10 2" xfId="425" xr:uid="{00000000-0005-0000-0000-0000A1010000}"/>
    <cellStyle name="40% - Accent3 10 3" xfId="426" xr:uid="{00000000-0005-0000-0000-0000A2010000}"/>
    <cellStyle name="40% - Accent3 10 4" xfId="427" xr:uid="{00000000-0005-0000-0000-0000A3010000}"/>
    <cellStyle name="40% - Accent3 11" xfId="428" xr:uid="{00000000-0005-0000-0000-0000A4010000}"/>
    <cellStyle name="40% - Accent3 11 2" xfId="429" xr:uid="{00000000-0005-0000-0000-0000A5010000}"/>
    <cellStyle name="40% - Accent3 11 3" xfId="430" xr:uid="{00000000-0005-0000-0000-0000A6010000}"/>
    <cellStyle name="40% - Accent3 11 4" xfId="431" xr:uid="{00000000-0005-0000-0000-0000A7010000}"/>
    <cellStyle name="40% - Accent3 12" xfId="432" xr:uid="{00000000-0005-0000-0000-0000A8010000}"/>
    <cellStyle name="40% - Accent3 12 2" xfId="433" xr:uid="{00000000-0005-0000-0000-0000A9010000}"/>
    <cellStyle name="40% - Accent3 12 3" xfId="434" xr:uid="{00000000-0005-0000-0000-0000AA010000}"/>
    <cellStyle name="40% - Accent3 12 4" xfId="435" xr:uid="{00000000-0005-0000-0000-0000AB010000}"/>
    <cellStyle name="40% - Accent3 13" xfId="436" xr:uid="{00000000-0005-0000-0000-0000AC010000}"/>
    <cellStyle name="40% - Accent3 13 2" xfId="437" xr:uid="{00000000-0005-0000-0000-0000AD010000}"/>
    <cellStyle name="40% - Accent3 13 3" xfId="438" xr:uid="{00000000-0005-0000-0000-0000AE010000}"/>
    <cellStyle name="40% - Accent3 13 4" xfId="439" xr:uid="{00000000-0005-0000-0000-0000AF010000}"/>
    <cellStyle name="40% - Accent3 14" xfId="440" xr:uid="{00000000-0005-0000-0000-0000B0010000}"/>
    <cellStyle name="40% - Accent3 15" xfId="441" xr:uid="{00000000-0005-0000-0000-0000B1010000}"/>
    <cellStyle name="40% - Accent3 16" xfId="442" xr:uid="{00000000-0005-0000-0000-0000B2010000}"/>
    <cellStyle name="40% - Accent3 17" xfId="2629" xr:uid="{00000000-0005-0000-0000-0000B3010000}"/>
    <cellStyle name="40% - Accent3 2" xfId="443" xr:uid="{00000000-0005-0000-0000-0000B4010000}"/>
    <cellStyle name="40% - Accent3 2 2" xfId="444" xr:uid="{00000000-0005-0000-0000-0000B5010000}"/>
    <cellStyle name="40% - Accent3 2 3" xfId="445" xr:uid="{00000000-0005-0000-0000-0000B6010000}"/>
    <cellStyle name="40% - Accent3 2 4" xfId="446" xr:uid="{00000000-0005-0000-0000-0000B7010000}"/>
    <cellStyle name="40% - Accent3 3" xfId="447" xr:uid="{00000000-0005-0000-0000-0000B8010000}"/>
    <cellStyle name="40% - Accent3 3 2" xfId="448" xr:uid="{00000000-0005-0000-0000-0000B9010000}"/>
    <cellStyle name="40% - Accent3 3 3" xfId="449" xr:uid="{00000000-0005-0000-0000-0000BA010000}"/>
    <cellStyle name="40% - Accent3 3 4" xfId="450" xr:uid="{00000000-0005-0000-0000-0000BB010000}"/>
    <cellStyle name="40% - Accent3 4" xfId="451" xr:uid="{00000000-0005-0000-0000-0000BC010000}"/>
    <cellStyle name="40% - Accent3 4 2" xfId="452" xr:uid="{00000000-0005-0000-0000-0000BD010000}"/>
    <cellStyle name="40% - Accent3 4 3" xfId="453" xr:uid="{00000000-0005-0000-0000-0000BE010000}"/>
    <cellStyle name="40% - Accent3 4 4" xfId="454" xr:uid="{00000000-0005-0000-0000-0000BF010000}"/>
    <cellStyle name="40% - Accent3 5" xfId="455" xr:uid="{00000000-0005-0000-0000-0000C0010000}"/>
    <cellStyle name="40% - Accent3 5 2" xfId="456" xr:uid="{00000000-0005-0000-0000-0000C1010000}"/>
    <cellStyle name="40% - Accent3 5 3" xfId="457" xr:uid="{00000000-0005-0000-0000-0000C2010000}"/>
    <cellStyle name="40% - Accent3 5 4" xfId="458" xr:uid="{00000000-0005-0000-0000-0000C3010000}"/>
    <cellStyle name="40% - Accent3 6" xfId="459" xr:uid="{00000000-0005-0000-0000-0000C4010000}"/>
    <cellStyle name="40% - Accent3 6 2" xfId="460" xr:uid="{00000000-0005-0000-0000-0000C5010000}"/>
    <cellStyle name="40% - Accent3 6 3" xfId="461" xr:uid="{00000000-0005-0000-0000-0000C6010000}"/>
    <cellStyle name="40% - Accent3 6 4" xfId="462" xr:uid="{00000000-0005-0000-0000-0000C7010000}"/>
    <cellStyle name="40% - Accent3 7" xfId="463" xr:uid="{00000000-0005-0000-0000-0000C8010000}"/>
    <cellStyle name="40% - Accent3 7 2" xfId="464" xr:uid="{00000000-0005-0000-0000-0000C9010000}"/>
    <cellStyle name="40% - Accent3 7 3" xfId="465" xr:uid="{00000000-0005-0000-0000-0000CA010000}"/>
    <cellStyle name="40% - Accent3 7 4" xfId="466" xr:uid="{00000000-0005-0000-0000-0000CB010000}"/>
    <cellStyle name="40% - Accent3 8" xfId="467" xr:uid="{00000000-0005-0000-0000-0000CC010000}"/>
    <cellStyle name="40% - Accent3 8 2" xfId="468" xr:uid="{00000000-0005-0000-0000-0000CD010000}"/>
    <cellStyle name="40% - Accent3 8 3" xfId="469" xr:uid="{00000000-0005-0000-0000-0000CE010000}"/>
    <cellStyle name="40% - Accent3 8 4" xfId="470" xr:uid="{00000000-0005-0000-0000-0000CF010000}"/>
    <cellStyle name="40% - Accent3 9" xfId="471" xr:uid="{00000000-0005-0000-0000-0000D0010000}"/>
    <cellStyle name="40% - Accent3 9 2" xfId="472" xr:uid="{00000000-0005-0000-0000-0000D1010000}"/>
    <cellStyle name="40% - Accent3 9 3" xfId="473" xr:uid="{00000000-0005-0000-0000-0000D2010000}"/>
    <cellStyle name="40% - Accent3 9 4" xfId="474" xr:uid="{00000000-0005-0000-0000-0000D3010000}"/>
    <cellStyle name="40% - Accent4 10" xfId="475" xr:uid="{00000000-0005-0000-0000-0000D4010000}"/>
    <cellStyle name="40% - Accent4 10 2" xfId="476" xr:uid="{00000000-0005-0000-0000-0000D5010000}"/>
    <cellStyle name="40% - Accent4 10 3" xfId="477" xr:uid="{00000000-0005-0000-0000-0000D6010000}"/>
    <cellStyle name="40% - Accent4 10 4" xfId="478" xr:uid="{00000000-0005-0000-0000-0000D7010000}"/>
    <cellStyle name="40% - Accent4 11" xfId="479" xr:uid="{00000000-0005-0000-0000-0000D8010000}"/>
    <cellStyle name="40% - Accent4 11 2" xfId="480" xr:uid="{00000000-0005-0000-0000-0000D9010000}"/>
    <cellStyle name="40% - Accent4 11 3" xfId="481" xr:uid="{00000000-0005-0000-0000-0000DA010000}"/>
    <cellStyle name="40% - Accent4 11 4" xfId="482" xr:uid="{00000000-0005-0000-0000-0000DB010000}"/>
    <cellStyle name="40% - Accent4 12" xfId="483" xr:uid="{00000000-0005-0000-0000-0000DC010000}"/>
    <cellStyle name="40% - Accent4 12 2" xfId="484" xr:uid="{00000000-0005-0000-0000-0000DD010000}"/>
    <cellStyle name="40% - Accent4 12 3" xfId="485" xr:uid="{00000000-0005-0000-0000-0000DE010000}"/>
    <cellStyle name="40% - Accent4 12 4" xfId="486" xr:uid="{00000000-0005-0000-0000-0000DF010000}"/>
    <cellStyle name="40% - Accent4 13" xfId="487" xr:uid="{00000000-0005-0000-0000-0000E0010000}"/>
    <cellStyle name="40% - Accent4 13 2" xfId="488" xr:uid="{00000000-0005-0000-0000-0000E1010000}"/>
    <cellStyle name="40% - Accent4 13 3" xfId="489" xr:uid="{00000000-0005-0000-0000-0000E2010000}"/>
    <cellStyle name="40% - Accent4 13 4" xfId="490" xr:uid="{00000000-0005-0000-0000-0000E3010000}"/>
    <cellStyle name="40% - Accent4 14" xfId="491" xr:uid="{00000000-0005-0000-0000-0000E4010000}"/>
    <cellStyle name="40% - Accent4 15" xfId="492" xr:uid="{00000000-0005-0000-0000-0000E5010000}"/>
    <cellStyle name="40% - Accent4 16" xfId="493" xr:uid="{00000000-0005-0000-0000-0000E6010000}"/>
    <cellStyle name="40% - Accent4 17" xfId="2623" xr:uid="{00000000-0005-0000-0000-0000E7010000}"/>
    <cellStyle name="40% - Accent4 2" xfId="494" xr:uid="{00000000-0005-0000-0000-0000E8010000}"/>
    <cellStyle name="40% - Accent4 2 2" xfId="495" xr:uid="{00000000-0005-0000-0000-0000E9010000}"/>
    <cellStyle name="40% - Accent4 2 3" xfId="496" xr:uid="{00000000-0005-0000-0000-0000EA010000}"/>
    <cellStyle name="40% - Accent4 2 4" xfId="497" xr:uid="{00000000-0005-0000-0000-0000EB010000}"/>
    <cellStyle name="40% - Accent4 3" xfId="498" xr:uid="{00000000-0005-0000-0000-0000EC010000}"/>
    <cellStyle name="40% - Accent4 3 2" xfId="499" xr:uid="{00000000-0005-0000-0000-0000ED010000}"/>
    <cellStyle name="40% - Accent4 3 3" xfId="500" xr:uid="{00000000-0005-0000-0000-0000EE010000}"/>
    <cellStyle name="40% - Accent4 3 4" xfId="501" xr:uid="{00000000-0005-0000-0000-0000EF010000}"/>
    <cellStyle name="40% - Accent4 4" xfId="502" xr:uid="{00000000-0005-0000-0000-0000F0010000}"/>
    <cellStyle name="40% - Accent4 4 2" xfId="503" xr:uid="{00000000-0005-0000-0000-0000F1010000}"/>
    <cellStyle name="40% - Accent4 4 3" xfId="504" xr:uid="{00000000-0005-0000-0000-0000F2010000}"/>
    <cellStyle name="40% - Accent4 4 4" xfId="505" xr:uid="{00000000-0005-0000-0000-0000F3010000}"/>
    <cellStyle name="40% - Accent4 5" xfId="506" xr:uid="{00000000-0005-0000-0000-0000F4010000}"/>
    <cellStyle name="40% - Accent4 5 2" xfId="507" xr:uid="{00000000-0005-0000-0000-0000F5010000}"/>
    <cellStyle name="40% - Accent4 5 3" xfId="508" xr:uid="{00000000-0005-0000-0000-0000F6010000}"/>
    <cellStyle name="40% - Accent4 5 4" xfId="509" xr:uid="{00000000-0005-0000-0000-0000F7010000}"/>
    <cellStyle name="40% - Accent4 6" xfId="510" xr:uid="{00000000-0005-0000-0000-0000F8010000}"/>
    <cellStyle name="40% - Accent4 6 2" xfId="511" xr:uid="{00000000-0005-0000-0000-0000F9010000}"/>
    <cellStyle name="40% - Accent4 6 3" xfId="512" xr:uid="{00000000-0005-0000-0000-0000FA010000}"/>
    <cellStyle name="40% - Accent4 6 4" xfId="513" xr:uid="{00000000-0005-0000-0000-0000FB010000}"/>
    <cellStyle name="40% - Accent4 7" xfId="514" xr:uid="{00000000-0005-0000-0000-0000FC010000}"/>
    <cellStyle name="40% - Accent4 7 2" xfId="515" xr:uid="{00000000-0005-0000-0000-0000FD010000}"/>
    <cellStyle name="40% - Accent4 7 3" xfId="516" xr:uid="{00000000-0005-0000-0000-0000FE010000}"/>
    <cellStyle name="40% - Accent4 7 4" xfId="517" xr:uid="{00000000-0005-0000-0000-0000FF010000}"/>
    <cellStyle name="40% - Accent4 8" xfId="518" xr:uid="{00000000-0005-0000-0000-000000020000}"/>
    <cellStyle name="40% - Accent4 8 2" xfId="519" xr:uid="{00000000-0005-0000-0000-000001020000}"/>
    <cellStyle name="40% - Accent4 8 3" xfId="520" xr:uid="{00000000-0005-0000-0000-000002020000}"/>
    <cellStyle name="40% - Accent4 8 4" xfId="521" xr:uid="{00000000-0005-0000-0000-000003020000}"/>
    <cellStyle name="40% - Accent4 9" xfId="522" xr:uid="{00000000-0005-0000-0000-000004020000}"/>
    <cellStyle name="40% - Accent4 9 2" xfId="523" xr:uid="{00000000-0005-0000-0000-000005020000}"/>
    <cellStyle name="40% - Accent4 9 3" xfId="524" xr:uid="{00000000-0005-0000-0000-000006020000}"/>
    <cellStyle name="40% - Accent4 9 4" xfId="525" xr:uid="{00000000-0005-0000-0000-000007020000}"/>
    <cellStyle name="40% - Accent5 10" xfId="526" xr:uid="{00000000-0005-0000-0000-000008020000}"/>
    <cellStyle name="40% - Accent5 10 2" xfId="527" xr:uid="{00000000-0005-0000-0000-000009020000}"/>
    <cellStyle name="40% - Accent5 10 3" xfId="528" xr:uid="{00000000-0005-0000-0000-00000A020000}"/>
    <cellStyle name="40% - Accent5 10 4" xfId="529" xr:uid="{00000000-0005-0000-0000-00000B020000}"/>
    <cellStyle name="40% - Accent5 11" xfId="530" xr:uid="{00000000-0005-0000-0000-00000C020000}"/>
    <cellStyle name="40% - Accent5 11 2" xfId="531" xr:uid="{00000000-0005-0000-0000-00000D020000}"/>
    <cellStyle name="40% - Accent5 11 3" xfId="532" xr:uid="{00000000-0005-0000-0000-00000E020000}"/>
    <cellStyle name="40% - Accent5 11 4" xfId="533" xr:uid="{00000000-0005-0000-0000-00000F020000}"/>
    <cellStyle name="40% - Accent5 12" xfId="534" xr:uid="{00000000-0005-0000-0000-000010020000}"/>
    <cellStyle name="40% - Accent5 12 2" xfId="535" xr:uid="{00000000-0005-0000-0000-000011020000}"/>
    <cellStyle name="40% - Accent5 12 3" xfId="536" xr:uid="{00000000-0005-0000-0000-000012020000}"/>
    <cellStyle name="40% - Accent5 12 4" xfId="537" xr:uid="{00000000-0005-0000-0000-000013020000}"/>
    <cellStyle name="40% - Accent5 13" xfId="538" xr:uid="{00000000-0005-0000-0000-000014020000}"/>
    <cellStyle name="40% - Accent5 13 2" xfId="539" xr:uid="{00000000-0005-0000-0000-000015020000}"/>
    <cellStyle name="40% - Accent5 13 3" xfId="540" xr:uid="{00000000-0005-0000-0000-000016020000}"/>
    <cellStyle name="40% - Accent5 13 4" xfId="541" xr:uid="{00000000-0005-0000-0000-000017020000}"/>
    <cellStyle name="40% - Accent5 14" xfId="542" xr:uid="{00000000-0005-0000-0000-000018020000}"/>
    <cellStyle name="40% - Accent5 15" xfId="543" xr:uid="{00000000-0005-0000-0000-000019020000}"/>
    <cellStyle name="40% - Accent5 16" xfId="544" xr:uid="{00000000-0005-0000-0000-00001A020000}"/>
    <cellStyle name="40% - Accent5 17" xfId="2644" xr:uid="{00000000-0005-0000-0000-00001B020000}"/>
    <cellStyle name="40% - Accent5 2" xfId="545" xr:uid="{00000000-0005-0000-0000-00001C020000}"/>
    <cellStyle name="40% - Accent5 2 2" xfId="546" xr:uid="{00000000-0005-0000-0000-00001D020000}"/>
    <cellStyle name="40% - Accent5 2 3" xfId="547" xr:uid="{00000000-0005-0000-0000-00001E020000}"/>
    <cellStyle name="40% - Accent5 2 4" xfId="548" xr:uid="{00000000-0005-0000-0000-00001F020000}"/>
    <cellStyle name="40% - Accent5 3" xfId="549" xr:uid="{00000000-0005-0000-0000-000020020000}"/>
    <cellStyle name="40% - Accent5 3 2" xfId="550" xr:uid="{00000000-0005-0000-0000-000021020000}"/>
    <cellStyle name="40% - Accent5 3 3" xfId="551" xr:uid="{00000000-0005-0000-0000-000022020000}"/>
    <cellStyle name="40% - Accent5 3 4" xfId="552" xr:uid="{00000000-0005-0000-0000-000023020000}"/>
    <cellStyle name="40% - Accent5 4" xfId="553" xr:uid="{00000000-0005-0000-0000-000024020000}"/>
    <cellStyle name="40% - Accent5 4 2" xfId="554" xr:uid="{00000000-0005-0000-0000-000025020000}"/>
    <cellStyle name="40% - Accent5 4 3" xfId="555" xr:uid="{00000000-0005-0000-0000-000026020000}"/>
    <cellStyle name="40% - Accent5 4 4" xfId="556" xr:uid="{00000000-0005-0000-0000-000027020000}"/>
    <cellStyle name="40% - Accent5 5" xfId="557" xr:uid="{00000000-0005-0000-0000-000028020000}"/>
    <cellStyle name="40% - Accent5 5 2" xfId="558" xr:uid="{00000000-0005-0000-0000-000029020000}"/>
    <cellStyle name="40% - Accent5 5 3" xfId="559" xr:uid="{00000000-0005-0000-0000-00002A020000}"/>
    <cellStyle name="40% - Accent5 5 4" xfId="560" xr:uid="{00000000-0005-0000-0000-00002B020000}"/>
    <cellStyle name="40% - Accent5 6" xfId="561" xr:uid="{00000000-0005-0000-0000-00002C020000}"/>
    <cellStyle name="40% - Accent5 6 2" xfId="562" xr:uid="{00000000-0005-0000-0000-00002D020000}"/>
    <cellStyle name="40% - Accent5 6 3" xfId="563" xr:uid="{00000000-0005-0000-0000-00002E020000}"/>
    <cellStyle name="40% - Accent5 6 4" xfId="564" xr:uid="{00000000-0005-0000-0000-00002F020000}"/>
    <cellStyle name="40% - Accent5 7" xfId="565" xr:uid="{00000000-0005-0000-0000-000030020000}"/>
    <cellStyle name="40% - Accent5 7 2" xfId="566" xr:uid="{00000000-0005-0000-0000-000031020000}"/>
    <cellStyle name="40% - Accent5 7 3" xfId="567" xr:uid="{00000000-0005-0000-0000-000032020000}"/>
    <cellStyle name="40% - Accent5 7 4" xfId="568" xr:uid="{00000000-0005-0000-0000-000033020000}"/>
    <cellStyle name="40% - Accent5 8" xfId="569" xr:uid="{00000000-0005-0000-0000-000034020000}"/>
    <cellStyle name="40% - Accent5 8 2" xfId="570" xr:uid="{00000000-0005-0000-0000-000035020000}"/>
    <cellStyle name="40% - Accent5 8 3" xfId="571" xr:uid="{00000000-0005-0000-0000-000036020000}"/>
    <cellStyle name="40% - Accent5 8 4" xfId="572" xr:uid="{00000000-0005-0000-0000-000037020000}"/>
    <cellStyle name="40% - Accent5 9" xfId="573" xr:uid="{00000000-0005-0000-0000-000038020000}"/>
    <cellStyle name="40% - Accent5 9 2" xfId="574" xr:uid="{00000000-0005-0000-0000-000039020000}"/>
    <cellStyle name="40% - Accent5 9 3" xfId="575" xr:uid="{00000000-0005-0000-0000-00003A020000}"/>
    <cellStyle name="40% - Accent5 9 4" xfId="576" xr:uid="{00000000-0005-0000-0000-00003B020000}"/>
    <cellStyle name="40% - Accent6 10" xfId="577" xr:uid="{00000000-0005-0000-0000-00003C020000}"/>
    <cellStyle name="40% - Accent6 10 2" xfId="578" xr:uid="{00000000-0005-0000-0000-00003D020000}"/>
    <cellStyle name="40% - Accent6 10 3" xfId="579" xr:uid="{00000000-0005-0000-0000-00003E020000}"/>
    <cellStyle name="40% - Accent6 10 4" xfId="580" xr:uid="{00000000-0005-0000-0000-00003F020000}"/>
    <cellStyle name="40% - Accent6 11" xfId="581" xr:uid="{00000000-0005-0000-0000-000040020000}"/>
    <cellStyle name="40% - Accent6 11 2" xfId="582" xr:uid="{00000000-0005-0000-0000-000041020000}"/>
    <cellStyle name="40% - Accent6 11 3" xfId="583" xr:uid="{00000000-0005-0000-0000-000042020000}"/>
    <cellStyle name="40% - Accent6 11 4" xfId="584" xr:uid="{00000000-0005-0000-0000-000043020000}"/>
    <cellStyle name="40% - Accent6 12" xfId="585" xr:uid="{00000000-0005-0000-0000-000044020000}"/>
    <cellStyle name="40% - Accent6 12 2" xfId="586" xr:uid="{00000000-0005-0000-0000-000045020000}"/>
    <cellStyle name="40% - Accent6 12 3" xfId="587" xr:uid="{00000000-0005-0000-0000-000046020000}"/>
    <cellStyle name="40% - Accent6 12 4" xfId="588" xr:uid="{00000000-0005-0000-0000-000047020000}"/>
    <cellStyle name="40% - Accent6 13" xfId="589" xr:uid="{00000000-0005-0000-0000-000048020000}"/>
    <cellStyle name="40% - Accent6 13 2" xfId="590" xr:uid="{00000000-0005-0000-0000-000049020000}"/>
    <cellStyle name="40% - Accent6 13 3" xfId="591" xr:uid="{00000000-0005-0000-0000-00004A020000}"/>
    <cellStyle name="40% - Accent6 13 4" xfId="592" xr:uid="{00000000-0005-0000-0000-00004B020000}"/>
    <cellStyle name="40% - Accent6 14" xfId="593" xr:uid="{00000000-0005-0000-0000-00004C020000}"/>
    <cellStyle name="40% - Accent6 15" xfId="594" xr:uid="{00000000-0005-0000-0000-00004D020000}"/>
    <cellStyle name="40% - Accent6 16" xfId="595" xr:uid="{00000000-0005-0000-0000-00004E020000}"/>
    <cellStyle name="40% - Accent6 17" xfId="2636" xr:uid="{00000000-0005-0000-0000-00004F020000}"/>
    <cellStyle name="40% - Accent6 2" xfId="596" xr:uid="{00000000-0005-0000-0000-000050020000}"/>
    <cellStyle name="40% - Accent6 2 2" xfId="597" xr:uid="{00000000-0005-0000-0000-000051020000}"/>
    <cellStyle name="40% - Accent6 2 3" xfId="598" xr:uid="{00000000-0005-0000-0000-000052020000}"/>
    <cellStyle name="40% - Accent6 2 4" xfId="599" xr:uid="{00000000-0005-0000-0000-000053020000}"/>
    <cellStyle name="40% - Accent6 3" xfId="600" xr:uid="{00000000-0005-0000-0000-000054020000}"/>
    <cellStyle name="40% - Accent6 3 2" xfId="601" xr:uid="{00000000-0005-0000-0000-000055020000}"/>
    <cellStyle name="40% - Accent6 3 3" xfId="602" xr:uid="{00000000-0005-0000-0000-000056020000}"/>
    <cellStyle name="40% - Accent6 3 4" xfId="603" xr:uid="{00000000-0005-0000-0000-000057020000}"/>
    <cellStyle name="40% - Accent6 4" xfId="604" xr:uid="{00000000-0005-0000-0000-000058020000}"/>
    <cellStyle name="40% - Accent6 4 2" xfId="605" xr:uid="{00000000-0005-0000-0000-000059020000}"/>
    <cellStyle name="40% - Accent6 4 3" xfId="606" xr:uid="{00000000-0005-0000-0000-00005A020000}"/>
    <cellStyle name="40% - Accent6 4 4" xfId="607" xr:uid="{00000000-0005-0000-0000-00005B020000}"/>
    <cellStyle name="40% - Accent6 5" xfId="608" xr:uid="{00000000-0005-0000-0000-00005C020000}"/>
    <cellStyle name="40% - Accent6 5 2" xfId="609" xr:uid="{00000000-0005-0000-0000-00005D020000}"/>
    <cellStyle name="40% - Accent6 5 3" xfId="610" xr:uid="{00000000-0005-0000-0000-00005E020000}"/>
    <cellStyle name="40% - Accent6 5 4" xfId="611" xr:uid="{00000000-0005-0000-0000-00005F020000}"/>
    <cellStyle name="40% - Accent6 6" xfId="612" xr:uid="{00000000-0005-0000-0000-000060020000}"/>
    <cellStyle name="40% - Accent6 6 2" xfId="613" xr:uid="{00000000-0005-0000-0000-000061020000}"/>
    <cellStyle name="40% - Accent6 6 3" xfId="614" xr:uid="{00000000-0005-0000-0000-000062020000}"/>
    <cellStyle name="40% - Accent6 6 4" xfId="615" xr:uid="{00000000-0005-0000-0000-000063020000}"/>
    <cellStyle name="40% - Accent6 7" xfId="616" xr:uid="{00000000-0005-0000-0000-000064020000}"/>
    <cellStyle name="40% - Accent6 7 2" xfId="617" xr:uid="{00000000-0005-0000-0000-000065020000}"/>
    <cellStyle name="40% - Accent6 7 3" xfId="618" xr:uid="{00000000-0005-0000-0000-000066020000}"/>
    <cellStyle name="40% - Accent6 7 4" xfId="619" xr:uid="{00000000-0005-0000-0000-000067020000}"/>
    <cellStyle name="40% - Accent6 8" xfId="620" xr:uid="{00000000-0005-0000-0000-000068020000}"/>
    <cellStyle name="40% - Accent6 8 2" xfId="621" xr:uid="{00000000-0005-0000-0000-000069020000}"/>
    <cellStyle name="40% - Accent6 8 3" xfId="622" xr:uid="{00000000-0005-0000-0000-00006A020000}"/>
    <cellStyle name="40% - Accent6 8 4" xfId="623" xr:uid="{00000000-0005-0000-0000-00006B020000}"/>
    <cellStyle name="40% - Accent6 9" xfId="624" xr:uid="{00000000-0005-0000-0000-00006C020000}"/>
    <cellStyle name="40% - Accent6 9 2" xfId="625" xr:uid="{00000000-0005-0000-0000-00006D020000}"/>
    <cellStyle name="40% - Accent6 9 3" xfId="626" xr:uid="{00000000-0005-0000-0000-00006E020000}"/>
    <cellStyle name="40% - Accent6 9 4" xfId="627" xr:uid="{00000000-0005-0000-0000-00006F020000}"/>
    <cellStyle name="60% - Accent1 2" xfId="2597" xr:uid="{00000000-0005-0000-0000-000070020000}"/>
    <cellStyle name="60% - Accent2 2" xfId="2599" xr:uid="{00000000-0005-0000-0000-000071020000}"/>
    <cellStyle name="60% - Accent3 2" xfId="2601" xr:uid="{00000000-0005-0000-0000-000072020000}"/>
    <cellStyle name="60% - Accent4 2" xfId="2603" xr:uid="{00000000-0005-0000-0000-000073020000}"/>
    <cellStyle name="60% - Accent5 2" xfId="2605" xr:uid="{00000000-0005-0000-0000-000074020000}"/>
    <cellStyle name="60% - Accent6 2" xfId="2607" xr:uid="{00000000-0005-0000-0000-000075020000}"/>
    <cellStyle name="Accent1 2" xfId="2596" xr:uid="{00000000-0005-0000-0000-000076020000}"/>
    <cellStyle name="Accent2 2" xfId="2598" xr:uid="{00000000-0005-0000-0000-000077020000}"/>
    <cellStyle name="Accent3 2" xfId="2600" xr:uid="{00000000-0005-0000-0000-000078020000}"/>
    <cellStyle name="Accent4 2" xfId="2602" xr:uid="{00000000-0005-0000-0000-000079020000}"/>
    <cellStyle name="Accent5 2" xfId="2604" xr:uid="{00000000-0005-0000-0000-00007A020000}"/>
    <cellStyle name="Accent6 2" xfId="2606" xr:uid="{00000000-0005-0000-0000-00007B020000}"/>
    <cellStyle name="Bad 2" xfId="2586" xr:uid="{00000000-0005-0000-0000-00007C020000}"/>
    <cellStyle name="Calculation 2" xfId="2590" xr:uid="{00000000-0005-0000-0000-00007D020000}"/>
    <cellStyle name="Check Cell 2" xfId="2592" xr:uid="{00000000-0005-0000-0000-00007E020000}"/>
    <cellStyle name="Comma" xfId="2" builtinId="3"/>
    <cellStyle name="Comma 10" xfId="628" xr:uid="{00000000-0005-0000-0000-000080020000}"/>
    <cellStyle name="Comma 10 2" xfId="629" xr:uid="{00000000-0005-0000-0000-000081020000}"/>
    <cellStyle name="Comma 10 3" xfId="630" xr:uid="{00000000-0005-0000-0000-000082020000}"/>
    <cellStyle name="Comma 10 4" xfId="631" xr:uid="{00000000-0005-0000-0000-000083020000}"/>
    <cellStyle name="Comma 10 5" xfId="2609" xr:uid="{00000000-0005-0000-0000-000084020000}"/>
    <cellStyle name="Comma 11" xfId="632" xr:uid="{00000000-0005-0000-0000-000085020000}"/>
    <cellStyle name="Comma 11 2" xfId="633" xr:uid="{00000000-0005-0000-0000-000086020000}"/>
    <cellStyle name="Comma 11 3" xfId="634" xr:uid="{00000000-0005-0000-0000-000087020000}"/>
    <cellStyle name="Comma 11 4" xfId="635" xr:uid="{00000000-0005-0000-0000-000088020000}"/>
    <cellStyle name="Comma 12" xfId="636" xr:uid="{00000000-0005-0000-0000-000089020000}"/>
    <cellStyle name="Comma 12 2" xfId="637" xr:uid="{00000000-0005-0000-0000-00008A020000}"/>
    <cellStyle name="Comma 12 3" xfId="638" xr:uid="{00000000-0005-0000-0000-00008B020000}"/>
    <cellStyle name="Comma 12 4" xfId="639" xr:uid="{00000000-0005-0000-0000-00008C020000}"/>
    <cellStyle name="Comma 13" xfId="640" xr:uid="{00000000-0005-0000-0000-00008D020000}"/>
    <cellStyle name="Comma 13 2" xfId="641" xr:uid="{00000000-0005-0000-0000-00008E020000}"/>
    <cellStyle name="Comma 13 3" xfId="642" xr:uid="{00000000-0005-0000-0000-00008F020000}"/>
    <cellStyle name="Comma 13 4" xfId="643" xr:uid="{00000000-0005-0000-0000-000090020000}"/>
    <cellStyle name="Comma 14" xfId="644" xr:uid="{00000000-0005-0000-0000-000091020000}"/>
    <cellStyle name="Comma 14 2" xfId="645" xr:uid="{00000000-0005-0000-0000-000092020000}"/>
    <cellStyle name="Comma 14 3" xfId="646" xr:uid="{00000000-0005-0000-0000-000093020000}"/>
    <cellStyle name="Comma 14 4" xfId="647" xr:uid="{00000000-0005-0000-0000-000094020000}"/>
    <cellStyle name="Comma 15" xfId="648" xr:uid="{00000000-0005-0000-0000-000095020000}"/>
    <cellStyle name="Comma 15 2" xfId="649" xr:uid="{00000000-0005-0000-0000-000096020000}"/>
    <cellStyle name="Comma 15 3" xfId="650" xr:uid="{00000000-0005-0000-0000-000097020000}"/>
    <cellStyle name="Comma 15 4" xfId="651" xr:uid="{00000000-0005-0000-0000-000098020000}"/>
    <cellStyle name="Comma 16" xfId="652" xr:uid="{00000000-0005-0000-0000-000099020000}"/>
    <cellStyle name="Comma 16 2" xfId="653" xr:uid="{00000000-0005-0000-0000-00009A020000}"/>
    <cellStyle name="Comma 16 3" xfId="654" xr:uid="{00000000-0005-0000-0000-00009B020000}"/>
    <cellStyle name="Comma 16 4" xfId="655" xr:uid="{00000000-0005-0000-0000-00009C020000}"/>
    <cellStyle name="Comma 17" xfId="656" xr:uid="{00000000-0005-0000-0000-00009D020000}"/>
    <cellStyle name="Comma 17 2" xfId="657" xr:uid="{00000000-0005-0000-0000-00009E020000}"/>
    <cellStyle name="Comma 17 3" xfId="658" xr:uid="{00000000-0005-0000-0000-00009F020000}"/>
    <cellStyle name="Comma 17 4" xfId="659" xr:uid="{00000000-0005-0000-0000-0000A0020000}"/>
    <cellStyle name="Comma 18" xfId="660" xr:uid="{00000000-0005-0000-0000-0000A1020000}"/>
    <cellStyle name="Comma 18 2" xfId="661" xr:uid="{00000000-0005-0000-0000-0000A2020000}"/>
    <cellStyle name="Comma 18 3" xfId="662" xr:uid="{00000000-0005-0000-0000-0000A3020000}"/>
    <cellStyle name="Comma 18 4" xfId="663" xr:uid="{00000000-0005-0000-0000-0000A4020000}"/>
    <cellStyle name="Comma 19" xfId="664" xr:uid="{00000000-0005-0000-0000-0000A5020000}"/>
    <cellStyle name="Comma 19 2" xfId="665" xr:uid="{00000000-0005-0000-0000-0000A6020000}"/>
    <cellStyle name="Comma 19 3" xfId="666" xr:uid="{00000000-0005-0000-0000-0000A7020000}"/>
    <cellStyle name="Comma 19 4" xfId="667" xr:uid="{00000000-0005-0000-0000-0000A8020000}"/>
    <cellStyle name="Comma 2" xfId="4" xr:uid="{00000000-0005-0000-0000-0000A9020000}"/>
    <cellStyle name="Comma 2 2" xfId="668" xr:uid="{00000000-0005-0000-0000-0000AA020000}"/>
    <cellStyle name="Comma 2 2 2" xfId="2620" xr:uid="{00000000-0005-0000-0000-0000AB020000}"/>
    <cellStyle name="Comma 2 2 3" xfId="2615" xr:uid="{00000000-0005-0000-0000-0000AC020000}"/>
    <cellStyle name="Comma 2 3" xfId="2612" xr:uid="{00000000-0005-0000-0000-0000AD020000}"/>
    <cellStyle name="Comma 2 4" xfId="14" xr:uid="{00000000-0005-0000-0000-0000AE020000}"/>
    <cellStyle name="Comma 20" xfId="669" xr:uid="{00000000-0005-0000-0000-0000AF020000}"/>
    <cellStyle name="Comma 20 2" xfId="670" xr:uid="{00000000-0005-0000-0000-0000B0020000}"/>
    <cellStyle name="Comma 20 3" xfId="671" xr:uid="{00000000-0005-0000-0000-0000B1020000}"/>
    <cellStyle name="Comma 20 4" xfId="672" xr:uid="{00000000-0005-0000-0000-0000B2020000}"/>
    <cellStyle name="Comma 21" xfId="673" xr:uid="{00000000-0005-0000-0000-0000B3020000}"/>
    <cellStyle name="Comma 21 2" xfId="674" xr:uid="{00000000-0005-0000-0000-0000B4020000}"/>
    <cellStyle name="Comma 21 3" xfId="675" xr:uid="{00000000-0005-0000-0000-0000B5020000}"/>
    <cellStyle name="Comma 21 4" xfId="676" xr:uid="{00000000-0005-0000-0000-0000B6020000}"/>
    <cellStyle name="Comma 22" xfId="677" xr:uid="{00000000-0005-0000-0000-0000B7020000}"/>
    <cellStyle name="Comma 22 2" xfId="678" xr:uid="{00000000-0005-0000-0000-0000B8020000}"/>
    <cellStyle name="Comma 22 3" xfId="679" xr:uid="{00000000-0005-0000-0000-0000B9020000}"/>
    <cellStyle name="Comma 22 4" xfId="680" xr:uid="{00000000-0005-0000-0000-0000BA020000}"/>
    <cellStyle name="Comma 23" xfId="681" xr:uid="{00000000-0005-0000-0000-0000BB020000}"/>
    <cellStyle name="Comma 23 2" xfId="682" xr:uid="{00000000-0005-0000-0000-0000BC020000}"/>
    <cellStyle name="Comma 23 3" xfId="683" xr:uid="{00000000-0005-0000-0000-0000BD020000}"/>
    <cellStyle name="Comma 23 4" xfId="684" xr:uid="{00000000-0005-0000-0000-0000BE020000}"/>
    <cellStyle name="Comma 24" xfId="685" xr:uid="{00000000-0005-0000-0000-0000BF020000}"/>
    <cellStyle name="Comma 24 2" xfId="686" xr:uid="{00000000-0005-0000-0000-0000C0020000}"/>
    <cellStyle name="Comma 24 3" xfId="687" xr:uid="{00000000-0005-0000-0000-0000C1020000}"/>
    <cellStyle name="Comma 24 4" xfId="688" xr:uid="{00000000-0005-0000-0000-0000C2020000}"/>
    <cellStyle name="Comma 25" xfId="689" xr:uid="{00000000-0005-0000-0000-0000C3020000}"/>
    <cellStyle name="Comma 25 2" xfId="690" xr:uid="{00000000-0005-0000-0000-0000C4020000}"/>
    <cellStyle name="Comma 25 3" xfId="691" xr:uid="{00000000-0005-0000-0000-0000C5020000}"/>
    <cellStyle name="Comma 25 4" xfId="692" xr:uid="{00000000-0005-0000-0000-0000C6020000}"/>
    <cellStyle name="Comma 26" xfId="693" xr:uid="{00000000-0005-0000-0000-0000C7020000}"/>
    <cellStyle name="Comma 26 2" xfId="694" xr:uid="{00000000-0005-0000-0000-0000C8020000}"/>
    <cellStyle name="Comma 26 3" xfId="695" xr:uid="{00000000-0005-0000-0000-0000C9020000}"/>
    <cellStyle name="Comma 26 4" xfId="696" xr:uid="{00000000-0005-0000-0000-0000CA020000}"/>
    <cellStyle name="Comma 27" xfId="697" xr:uid="{00000000-0005-0000-0000-0000CB020000}"/>
    <cellStyle name="Comma 27 2" xfId="698" xr:uid="{00000000-0005-0000-0000-0000CC020000}"/>
    <cellStyle name="Comma 27 3" xfId="699" xr:uid="{00000000-0005-0000-0000-0000CD020000}"/>
    <cellStyle name="Comma 27 4" xfId="700" xr:uid="{00000000-0005-0000-0000-0000CE020000}"/>
    <cellStyle name="Comma 28" xfId="701" xr:uid="{00000000-0005-0000-0000-0000CF020000}"/>
    <cellStyle name="Comma 28 2" xfId="702" xr:uid="{00000000-0005-0000-0000-0000D0020000}"/>
    <cellStyle name="Comma 28 3" xfId="703" xr:uid="{00000000-0005-0000-0000-0000D1020000}"/>
    <cellStyle name="Comma 28 4" xfId="704" xr:uid="{00000000-0005-0000-0000-0000D2020000}"/>
    <cellStyle name="Comma 29" xfId="705" xr:uid="{00000000-0005-0000-0000-0000D3020000}"/>
    <cellStyle name="Comma 3" xfId="706" xr:uid="{00000000-0005-0000-0000-0000D4020000}"/>
    <cellStyle name="Comma 3 10" xfId="707" xr:uid="{00000000-0005-0000-0000-0000D5020000}"/>
    <cellStyle name="Comma 3 10 2" xfId="708" xr:uid="{00000000-0005-0000-0000-0000D6020000}"/>
    <cellStyle name="Comma 3 10 3" xfId="709" xr:uid="{00000000-0005-0000-0000-0000D7020000}"/>
    <cellStyle name="Comma 3 10 4" xfId="710" xr:uid="{00000000-0005-0000-0000-0000D8020000}"/>
    <cellStyle name="Comma 3 11" xfId="711" xr:uid="{00000000-0005-0000-0000-0000D9020000}"/>
    <cellStyle name="Comma 3 11 2" xfId="712" xr:uid="{00000000-0005-0000-0000-0000DA020000}"/>
    <cellStyle name="Comma 3 11 3" xfId="713" xr:uid="{00000000-0005-0000-0000-0000DB020000}"/>
    <cellStyle name="Comma 3 11 4" xfId="714" xr:uid="{00000000-0005-0000-0000-0000DC020000}"/>
    <cellStyle name="Comma 3 12" xfId="715" xr:uid="{00000000-0005-0000-0000-0000DD020000}"/>
    <cellStyle name="Comma 3 12 2" xfId="716" xr:uid="{00000000-0005-0000-0000-0000DE020000}"/>
    <cellStyle name="Comma 3 12 3" xfId="717" xr:uid="{00000000-0005-0000-0000-0000DF020000}"/>
    <cellStyle name="Comma 3 12 4" xfId="718" xr:uid="{00000000-0005-0000-0000-0000E0020000}"/>
    <cellStyle name="Comma 3 13" xfId="719" xr:uid="{00000000-0005-0000-0000-0000E1020000}"/>
    <cellStyle name="Comma 3 13 2" xfId="720" xr:uid="{00000000-0005-0000-0000-0000E2020000}"/>
    <cellStyle name="Comma 3 13 3" xfId="721" xr:uid="{00000000-0005-0000-0000-0000E3020000}"/>
    <cellStyle name="Comma 3 13 4" xfId="722" xr:uid="{00000000-0005-0000-0000-0000E4020000}"/>
    <cellStyle name="Comma 3 14" xfId="723" xr:uid="{00000000-0005-0000-0000-0000E5020000}"/>
    <cellStyle name="Comma 3 14 2" xfId="724" xr:uid="{00000000-0005-0000-0000-0000E6020000}"/>
    <cellStyle name="Comma 3 14 3" xfId="725" xr:uid="{00000000-0005-0000-0000-0000E7020000}"/>
    <cellStyle name="Comma 3 14 4" xfId="726" xr:uid="{00000000-0005-0000-0000-0000E8020000}"/>
    <cellStyle name="Comma 3 15" xfId="727" xr:uid="{00000000-0005-0000-0000-0000E9020000}"/>
    <cellStyle name="Comma 3 15 2" xfId="728" xr:uid="{00000000-0005-0000-0000-0000EA020000}"/>
    <cellStyle name="Comma 3 15 3" xfId="729" xr:uid="{00000000-0005-0000-0000-0000EB020000}"/>
    <cellStyle name="Comma 3 15 4" xfId="730" xr:uid="{00000000-0005-0000-0000-0000EC020000}"/>
    <cellStyle name="Comma 3 16" xfId="731" xr:uid="{00000000-0005-0000-0000-0000ED020000}"/>
    <cellStyle name="Comma 3 16 2" xfId="732" xr:uid="{00000000-0005-0000-0000-0000EE020000}"/>
    <cellStyle name="Comma 3 16 3" xfId="733" xr:uid="{00000000-0005-0000-0000-0000EF020000}"/>
    <cellStyle name="Comma 3 16 4" xfId="734" xr:uid="{00000000-0005-0000-0000-0000F0020000}"/>
    <cellStyle name="Comma 3 17" xfId="735" xr:uid="{00000000-0005-0000-0000-0000F1020000}"/>
    <cellStyle name="Comma 3 17 2" xfId="736" xr:uid="{00000000-0005-0000-0000-0000F2020000}"/>
    <cellStyle name="Comma 3 17 3" xfId="737" xr:uid="{00000000-0005-0000-0000-0000F3020000}"/>
    <cellStyle name="Comma 3 17 4" xfId="738" xr:uid="{00000000-0005-0000-0000-0000F4020000}"/>
    <cellStyle name="Comma 3 18" xfId="739" xr:uid="{00000000-0005-0000-0000-0000F5020000}"/>
    <cellStyle name="Comma 3 18 2" xfId="740" xr:uid="{00000000-0005-0000-0000-0000F6020000}"/>
    <cellStyle name="Comma 3 18 3" xfId="741" xr:uid="{00000000-0005-0000-0000-0000F7020000}"/>
    <cellStyle name="Comma 3 18 4" xfId="742" xr:uid="{00000000-0005-0000-0000-0000F8020000}"/>
    <cellStyle name="Comma 3 19" xfId="743" xr:uid="{00000000-0005-0000-0000-0000F9020000}"/>
    <cellStyle name="Comma 3 19 2" xfId="744" xr:uid="{00000000-0005-0000-0000-0000FA020000}"/>
    <cellStyle name="Comma 3 19 3" xfId="745" xr:uid="{00000000-0005-0000-0000-0000FB020000}"/>
    <cellStyle name="Comma 3 19 4" xfId="746" xr:uid="{00000000-0005-0000-0000-0000FC020000}"/>
    <cellStyle name="Comma 3 2" xfId="747" xr:uid="{00000000-0005-0000-0000-0000FD020000}"/>
    <cellStyle name="Comma 3 2 2" xfId="748" xr:uid="{00000000-0005-0000-0000-0000FE020000}"/>
    <cellStyle name="Comma 3 2 3" xfId="749" xr:uid="{00000000-0005-0000-0000-0000FF020000}"/>
    <cellStyle name="Comma 3 2 3 2" xfId="750" xr:uid="{00000000-0005-0000-0000-000000030000}"/>
    <cellStyle name="Comma 3 2 3 3" xfId="751" xr:uid="{00000000-0005-0000-0000-000001030000}"/>
    <cellStyle name="Comma 3 20" xfId="752" xr:uid="{00000000-0005-0000-0000-000002030000}"/>
    <cellStyle name="Comma 3 20 2" xfId="753" xr:uid="{00000000-0005-0000-0000-000003030000}"/>
    <cellStyle name="Comma 3 20 3" xfId="754" xr:uid="{00000000-0005-0000-0000-000004030000}"/>
    <cellStyle name="Comma 3 20 4" xfId="755" xr:uid="{00000000-0005-0000-0000-000005030000}"/>
    <cellStyle name="Comma 3 21" xfId="756" xr:uid="{00000000-0005-0000-0000-000006030000}"/>
    <cellStyle name="Comma 3 21 2" xfId="757" xr:uid="{00000000-0005-0000-0000-000007030000}"/>
    <cellStyle name="Comma 3 21 3" xfId="758" xr:uid="{00000000-0005-0000-0000-000008030000}"/>
    <cellStyle name="Comma 3 21 4" xfId="759" xr:uid="{00000000-0005-0000-0000-000009030000}"/>
    <cellStyle name="Comma 3 22" xfId="760" xr:uid="{00000000-0005-0000-0000-00000A030000}"/>
    <cellStyle name="Comma 3 23" xfId="761" xr:uid="{00000000-0005-0000-0000-00000B030000}"/>
    <cellStyle name="Comma 3 24" xfId="762" xr:uid="{00000000-0005-0000-0000-00000C030000}"/>
    <cellStyle name="Comma 3 25" xfId="2628" xr:uid="{00000000-0005-0000-0000-00000D030000}"/>
    <cellStyle name="Comma 3 3" xfId="763" xr:uid="{00000000-0005-0000-0000-00000E030000}"/>
    <cellStyle name="Comma 3 3 2" xfId="764" xr:uid="{00000000-0005-0000-0000-00000F030000}"/>
    <cellStyle name="Comma 3 3 3" xfId="765" xr:uid="{00000000-0005-0000-0000-000010030000}"/>
    <cellStyle name="Comma 3 3 4" xfId="766" xr:uid="{00000000-0005-0000-0000-000011030000}"/>
    <cellStyle name="Comma 3 4" xfId="767" xr:uid="{00000000-0005-0000-0000-000012030000}"/>
    <cellStyle name="Comma 3 4 2" xfId="768" xr:uid="{00000000-0005-0000-0000-000013030000}"/>
    <cellStyle name="Comma 3 4 3" xfId="769" xr:uid="{00000000-0005-0000-0000-000014030000}"/>
    <cellStyle name="Comma 3 4 4" xfId="770" xr:uid="{00000000-0005-0000-0000-000015030000}"/>
    <cellStyle name="Comma 3 5" xfId="771" xr:uid="{00000000-0005-0000-0000-000016030000}"/>
    <cellStyle name="Comma 3 5 2" xfId="772" xr:uid="{00000000-0005-0000-0000-000017030000}"/>
    <cellStyle name="Comma 3 5 3" xfId="773" xr:uid="{00000000-0005-0000-0000-000018030000}"/>
    <cellStyle name="Comma 3 5 4" xfId="774" xr:uid="{00000000-0005-0000-0000-000019030000}"/>
    <cellStyle name="Comma 3 6" xfId="775" xr:uid="{00000000-0005-0000-0000-00001A030000}"/>
    <cellStyle name="Comma 3 6 2" xfId="776" xr:uid="{00000000-0005-0000-0000-00001B030000}"/>
    <cellStyle name="Comma 3 6 3" xfId="777" xr:uid="{00000000-0005-0000-0000-00001C030000}"/>
    <cellStyle name="Comma 3 6 4" xfId="778" xr:uid="{00000000-0005-0000-0000-00001D030000}"/>
    <cellStyle name="Comma 3 7" xfId="779" xr:uid="{00000000-0005-0000-0000-00001E030000}"/>
    <cellStyle name="Comma 3 7 2" xfId="780" xr:uid="{00000000-0005-0000-0000-00001F030000}"/>
    <cellStyle name="Comma 3 7 3" xfId="781" xr:uid="{00000000-0005-0000-0000-000020030000}"/>
    <cellStyle name="Comma 3 7 4" xfId="782" xr:uid="{00000000-0005-0000-0000-000021030000}"/>
    <cellStyle name="Comma 3 8" xfId="783" xr:uid="{00000000-0005-0000-0000-000022030000}"/>
    <cellStyle name="Comma 3 8 2" xfId="784" xr:uid="{00000000-0005-0000-0000-000023030000}"/>
    <cellStyle name="Comma 3 8 3" xfId="785" xr:uid="{00000000-0005-0000-0000-000024030000}"/>
    <cellStyle name="Comma 3 8 4" xfId="786" xr:uid="{00000000-0005-0000-0000-000025030000}"/>
    <cellStyle name="Comma 3 9" xfId="787" xr:uid="{00000000-0005-0000-0000-000026030000}"/>
    <cellStyle name="Comma 3 9 2" xfId="788" xr:uid="{00000000-0005-0000-0000-000027030000}"/>
    <cellStyle name="Comma 3 9 3" xfId="789" xr:uid="{00000000-0005-0000-0000-000028030000}"/>
    <cellStyle name="Comma 3 9 4" xfId="790" xr:uid="{00000000-0005-0000-0000-000029030000}"/>
    <cellStyle name="Comma 30" xfId="791" xr:uid="{00000000-0005-0000-0000-00002A030000}"/>
    <cellStyle name="Comma 31" xfId="792" xr:uid="{00000000-0005-0000-0000-00002B030000}"/>
    <cellStyle name="Comma 31 2" xfId="2639" xr:uid="{00000000-0005-0000-0000-00002C030000}"/>
    <cellStyle name="Comma 32" xfId="793" xr:uid="{00000000-0005-0000-0000-00002D030000}"/>
    <cellStyle name="Comma 33" xfId="2622" xr:uid="{00000000-0005-0000-0000-00002E030000}"/>
    <cellStyle name="Comma 34" xfId="2647" xr:uid="{00000000-0005-0000-0000-00002F030000}"/>
    <cellStyle name="Comma 34 2" xfId="2654" xr:uid="{00000000-0005-0000-0000-000030030000}"/>
    <cellStyle name="Comma 35" xfId="2650" xr:uid="{00000000-0005-0000-0000-000031030000}"/>
    <cellStyle name="Comma 36" xfId="11" xr:uid="{00000000-0005-0000-0000-000032030000}"/>
    <cellStyle name="Comma 4" xfId="794" xr:uid="{00000000-0005-0000-0000-000033030000}"/>
    <cellStyle name="Comma 4 10" xfId="795" xr:uid="{00000000-0005-0000-0000-000034030000}"/>
    <cellStyle name="Comma 4 10 2" xfId="796" xr:uid="{00000000-0005-0000-0000-000035030000}"/>
    <cellStyle name="Comma 4 10 3" xfId="797" xr:uid="{00000000-0005-0000-0000-000036030000}"/>
    <cellStyle name="Comma 4 10 4" xfId="798" xr:uid="{00000000-0005-0000-0000-000037030000}"/>
    <cellStyle name="Comma 4 11" xfId="799" xr:uid="{00000000-0005-0000-0000-000038030000}"/>
    <cellStyle name="Comma 4 11 2" xfId="800" xr:uid="{00000000-0005-0000-0000-000039030000}"/>
    <cellStyle name="Comma 4 11 3" xfId="801" xr:uid="{00000000-0005-0000-0000-00003A030000}"/>
    <cellStyle name="Comma 4 11 4" xfId="802" xr:uid="{00000000-0005-0000-0000-00003B030000}"/>
    <cellStyle name="Comma 4 12" xfId="803" xr:uid="{00000000-0005-0000-0000-00003C030000}"/>
    <cellStyle name="Comma 4 12 2" xfId="804" xr:uid="{00000000-0005-0000-0000-00003D030000}"/>
    <cellStyle name="Comma 4 12 3" xfId="805" xr:uid="{00000000-0005-0000-0000-00003E030000}"/>
    <cellStyle name="Comma 4 12 4" xfId="806" xr:uid="{00000000-0005-0000-0000-00003F030000}"/>
    <cellStyle name="Comma 4 13" xfId="807" xr:uid="{00000000-0005-0000-0000-000040030000}"/>
    <cellStyle name="Comma 4 13 2" xfId="808" xr:uid="{00000000-0005-0000-0000-000041030000}"/>
    <cellStyle name="Comma 4 13 3" xfId="809" xr:uid="{00000000-0005-0000-0000-000042030000}"/>
    <cellStyle name="Comma 4 13 4" xfId="810" xr:uid="{00000000-0005-0000-0000-000043030000}"/>
    <cellStyle name="Comma 4 14" xfId="811" xr:uid="{00000000-0005-0000-0000-000044030000}"/>
    <cellStyle name="Comma 4 14 2" xfId="812" xr:uid="{00000000-0005-0000-0000-000045030000}"/>
    <cellStyle name="Comma 4 14 3" xfId="813" xr:uid="{00000000-0005-0000-0000-000046030000}"/>
    <cellStyle name="Comma 4 14 4" xfId="814" xr:uid="{00000000-0005-0000-0000-000047030000}"/>
    <cellStyle name="Comma 4 15" xfId="815" xr:uid="{00000000-0005-0000-0000-000048030000}"/>
    <cellStyle name="Comma 4 15 2" xfId="816" xr:uid="{00000000-0005-0000-0000-000049030000}"/>
    <cellStyle name="Comma 4 15 3" xfId="817" xr:uid="{00000000-0005-0000-0000-00004A030000}"/>
    <cellStyle name="Comma 4 15 4" xfId="818" xr:uid="{00000000-0005-0000-0000-00004B030000}"/>
    <cellStyle name="Comma 4 16" xfId="819" xr:uid="{00000000-0005-0000-0000-00004C030000}"/>
    <cellStyle name="Comma 4 16 2" xfId="820" xr:uid="{00000000-0005-0000-0000-00004D030000}"/>
    <cellStyle name="Comma 4 16 3" xfId="821" xr:uid="{00000000-0005-0000-0000-00004E030000}"/>
    <cellStyle name="Comma 4 16 4" xfId="822" xr:uid="{00000000-0005-0000-0000-00004F030000}"/>
    <cellStyle name="Comma 4 17" xfId="823" xr:uid="{00000000-0005-0000-0000-000050030000}"/>
    <cellStyle name="Comma 4 17 2" xfId="824" xr:uid="{00000000-0005-0000-0000-000051030000}"/>
    <cellStyle name="Comma 4 17 3" xfId="825" xr:uid="{00000000-0005-0000-0000-000052030000}"/>
    <cellStyle name="Comma 4 17 4" xfId="826" xr:uid="{00000000-0005-0000-0000-000053030000}"/>
    <cellStyle name="Comma 4 18" xfId="827" xr:uid="{00000000-0005-0000-0000-000054030000}"/>
    <cellStyle name="Comma 4 18 2" xfId="828" xr:uid="{00000000-0005-0000-0000-000055030000}"/>
    <cellStyle name="Comma 4 18 3" xfId="829" xr:uid="{00000000-0005-0000-0000-000056030000}"/>
    <cellStyle name="Comma 4 18 4" xfId="830" xr:uid="{00000000-0005-0000-0000-000057030000}"/>
    <cellStyle name="Comma 4 19" xfId="831" xr:uid="{00000000-0005-0000-0000-000058030000}"/>
    <cellStyle name="Comma 4 19 2" xfId="832" xr:uid="{00000000-0005-0000-0000-000059030000}"/>
    <cellStyle name="Comma 4 19 3" xfId="833" xr:uid="{00000000-0005-0000-0000-00005A030000}"/>
    <cellStyle name="Comma 4 19 4" xfId="834" xr:uid="{00000000-0005-0000-0000-00005B030000}"/>
    <cellStyle name="Comma 4 2" xfId="835" xr:uid="{00000000-0005-0000-0000-00005C030000}"/>
    <cellStyle name="Comma 4 2 2" xfId="836" xr:uid="{00000000-0005-0000-0000-00005D030000}"/>
    <cellStyle name="Comma 4 2 3" xfId="837" xr:uid="{00000000-0005-0000-0000-00005E030000}"/>
    <cellStyle name="Comma 4 2 3 2" xfId="838" xr:uid="{00000000-0005-0000-0000-00005F030000}"/>
    <cellStyle name="Comma 4 2 3 3" xfId="839" xr:uid="{00000000-0005-0000-0000-000060030000}"/>
    <cellStyle name="Comma 4 20" xfId="840" xr:uid="{00000000-0005-0000-0000-000061030000}"/>
    <cellStyle name="Comma 4 20 2" xfId="841" xr:uid="{00000000-0005-0000-0000-000062030000}"/>
    <cellStyle name="Comma 4 20 3" xfId="842" xr:uid="{00000000-0005-0000-0000-000063030000}"/>
    <cellStyle name="Comma 4 20 4" xfId="843" xr:uid="{00000000-0005-0000-0000-000064030000}"/>
    <cellStyle name="Comma 4 21" xfId="844" xr:uid="{00000000-0005-0000-0000-000065030000}"/>
    <cellStyle name="Comma 4 21 2" xfId="845" xr:uid="{00000000-0005-0000-0000-000066030000}"/>
    <cellStyle name="Comma 4 21 3" xfId="846" xr:uid="{00000000-0005-0000-0000-000067030000}"/>
    <cellStyle name="Comma 4 21 4" xfId="847" xr:uid="{00000000-0005-0000-0000-000068030000}"/>
    <cellStyle name="Comma 4 22" xfId="848" xr:uid="{00000000-0005-0000-0000-000069030000}"/>
    <cellStyle name="Comma 4 23" xfId="849" xr:uid="{00000000-0005-0000-0000-00006A030000}"/>
    <cellStyle name="Comma 4 24" xfId="850" xr:uid="{00000000-0005-0000-0000-00006B030000}"/>
    <cellStyle name="Comma 4 3" xfId="851" xr:uid="{00000000-0005-0000-0000-00006C030000}"/>
    <cellStyle name="Comma 4 3 2" xfId="852" xr:uid="{00000000-0005-0000-0000-00006D030000}"/>
    <cellStyle name="Comma 4 3 3" xfId="853" xr:uid="{00000000-0005-0000-0000-00006E030000}"/>
    <cellStyle name="Comma 4 3 4" xfId="854" xr:uid="{00000000-0005-0000-0000-00006F030000}"/>
    <cellStyle name="Comma 4 4" xfId="855" xr:uid="{00000000-0005-0000-0000-000070030000}"/>
    <cellStyle name="Comma 4 4 2" xfId="856" xr:uid="{00000000-0005-0000-0000-000071030000}"/>
    <cellStyle name="Comma 4 4 3" xfId="857" xr:uid="{00000000-0005-0000-0000-000072030000}"/>
    <cellStyle name="Comma 4 4 4" xfId="858" xr:uid="{00000000-0005-0000-0000-000073030000}"/>
    <cellStyle name="Comma 4 5" xfId="859" xr:uid="{00000000-0005-0000-0000-000074030000}"/>
    <cellStyle name="Comma 4 5 2" xfId="860" xr:uid="{00000000-0005-0000-0000-000075030000}"/>
    <cellStyle name="Comma 4 5 3" xfId="861" xr:uid="{00000000-0005-0000-0000-000076030000}"/>
    <cellStyle name="Comma 4 5 4" xfId="862" xr:uid="{00000000-0005-0000-0000-000077030000}"/>
    <cellStyle name="Comma 4 6" xfId="863" xr:uid="{00000000-0005-0000-0000-000078030000}"/>
    <cellStyle name="Comma 4 6 2" xfId="864" xr:uid="{00000000-0005-0000-0000-000079030000}"/>
    <cellStyle name="Comma 4 6 3" xfId="865" xr:uid="{00000000-0005-0000-0000-00007A030000}"/>
    <cellStyle name="Comma 4 6 4" xfId="866" xr:uid="{00000000-0005-0000-0000-00007B030000}"/>
    <cellStyle name="Comma 4 7" xfId="867" xr:uid="{00000000-0005-0000-0000-00007C030000}"/>
    <cellStyle name="Comma 4 7 2" xfId="868" xr:uid="{00000000-0005-0000-0000-00007D030000}"/>
    <cellStyle name="Comma 4 7 3" xfId="869" xr:uid="{00000000-0005-0000-0000-00007E030000}"/>
    <cellStyle name="Comma 4 7 4" xfId="870" xr:uid="{00000000-0005-0000-0000-00007F030000}"/>
    <cellStyle name="Comma 4 8" xfId="871" xr:uid="{00000000-0005-0000-0000-000080030000}"/>
    <cellStyle name="Comma 4 8 2" xfId="872" xr:uid="{00000000-0005-0000-0000-000081030000}"/>
    <cellStyle name="Comma 4 8 3" xfId="873" xr:uid="{00000000-0005-0000-0000-000082030000}"/>
    <cellStyle name="Comma 4 8 4" xfId="874" xr:uid="{00000000-0005-0000-0000-000083030000}"/>
    <cellStyle name="Comma 4 9" xfId="875" xr:uid="{00000000-0005-0000-0000-000084030000}"/>
    <cellStyle name="Comma 4 9 2" xfId="876" xr:uid="{00000000-0005-0000-0000-000085030000}"/>
    <cellStyle name="Comma 4 9 3" xfId="877" xr:uid="{00000000-0005-0000-0000-000086030000}"/>
    <cellStyle name="Comma 4 9 4" xfId="878" xr:uid="{00000000-0005-0000-0000-000087030000}"/>
    <cellStyle name="Comma 5" xfId="879" xr:uid="{00000000-0005-0000-0000-000088030000}"/>
    <cellStyle name="Comma 5 10" xfId="880" xr:uid="{00000000-0005-0000-0000-000089030000}"/>
    <cellStyle name="Comma 5 10 2" xfId="881" xr:uid="{00000000-0005-0000-0000-00008A030000}"/>
    <cellStyle name="Comma 5 10 3" xfId="882" xr:uid="{00000000-0005-0000-0000-00008B030000}"/>
    <cellStyle name="Comma 5 10 4" xfId="883" xr:uid="{00000000-0005-0000-0000-00008C030000}"/>
    <cellStyle name="Comma 5 11" xfId="884" xr:uid="{00000000-0005-0000-0000-00008D030000}"/>
    <cellStyle name="Comma 5 11 2" xfId="885" xr:uid="{00000000-0005-0000-0000-00008E030000}"/>
    <cellStyle name="Comma 5 11 3" xfId="886" xr:uid="{00000000-0005-0000-0000-00008F030000}"/>
    <cellStyle name="Comma 5 11 4" xfId="887" xr:uid="{00000000-0005-0000-0000-000090030000}"/>
    <cellStyle name="Comma 5 12" xfId="888" xr:uid="{00000000-0005-0000-0000-000091030000}"/>
    <cellStyle name="Comma 5 12 2" xfId="889" xr:uid="{00000000-0005-0000-0000-000092030000}"/>
    <cellStyle name="Comma 5 12 3" xfId="890" xr:uid="{00000000-0005-0000-0000-000093030000}"/>
    <cellStyle name="Comma 5 12 4" xfId="891" xr:uid="{00000000-0005-0000-0000-000094030000}"/>
    <cellStyle name="Comma 5 13" xfId="892" xr:uid="{00000000-0005-0000-0000-000095030000}"/>
    <cellStyle name="Comma 5 13 2" xfId="893" xr:uid="{00000000-0005-0000-0000-000096030000}"/>
    <cellStyle name="Comma 5 13 3" xfId="894" xr:uid="{00000000-0005-0000-0000-000097030000}"/>
    <cellStyle name="Comma 5 13 4" xfId="895" xr:uid="{00000000-0005-0000-0000-000098030000}"/>
    <cellStyle name="Comma 5 14" xfId="896" xr:uid="{00000000-0005-0000-0000-000099030000}"/>
    <cellStyle name="Comma 5 14 2" xfId="897" xr:uid="{00000000-0005-0000-0000-00009A030000}"/>
    <cellStyle name="Comma 5 14 3" xfId="898" xr:uid="{00000000-0005-0000-0000-00009B030000}"/>
    <cellStyle name="Comma 5 14 4" xfId="899" xr:uid="{00000000-0005-0000-0000-00009C030000}"/>
    <cellStyle name="Comma 5 15" xfId="900" xr:uid="{00000000-0005-0000-0000-00009D030000}"/>
    <cellStyle name="Comma 5 15 2" xfId="901" xr:uid="{00000000-0005-0000-0000-00009E030000}"/>
    <cellStyle name="Comma 5 15 3" xfId="902" xr:uid="{00000000-0005-0000-0000-00009F030000}"/>
    <cellStyle name="Comma 5 15 4" xfId="903" xr:uid="{00000000-0005-0000-0000-0000A0030000}"/>
    <cellStyle name="Comma 5 16" xfId="904" xr:uid="{00000000-0005-0000-0000-0000A1030000}"/>
    <cellStyle name="Comma 5 16 2" xfId="905" xr:uid="{00000000-0005-0000-0000-0000A2030000}"/>
    <cellStyle name="Comma 5 16 3" xfId="906" xr:uid="{00000000-0005-0000-0000-0000A3030000}"/>
    <cellStyle name="Comma 5 16 4" xfId="907" xr:uid="{00000000-0005-0000-0000-0000A4030000}"/>
    <cellStyle name="Comma 5 17" xfId="908" xr:uid="{00000000-0005-0000-0000-0000A5030000}"/>
    <cellStyle name="Comma 5 17 2" xfId="909" xr:uid="{00000000-0005-0000-0000-0000A6030000}"/>
    <cellStyle name="Comma 5 17 3" xfId="910" xr:uid="{00000000-0005-0000-0000-0000A7030000}"/>
    <cellStyle name="Comma 5 17 4" xfId="911" xr:uid="{00000000-0005-0000-0000-0000A8030000}"/>
    <cellStyle name="Comma 5 18" xfId="912" xr:uid="{00000000-0005-0000-0000-0000A9030000}"/>
    <cellStyle name="Comma 5 18 2" xfId="913" xr:uid="{00000000-0005-0000-0000-0000AA030000}"/>
    <cellStyle name="Comma 5 18 3" xfId="914" xr:uid="{00000000-0005-0000-0000-0000AB030000}"/>
    <cellStyle name="Comma 5 18 4" xfId="915" xr:uid="{00000000-0005-0000-0000-0000AC030000}"/>
    <cellStyle name="Comma 5 19" xfId="916" xr:uid="{00000000-0005-0000-0000-0000AD030000}"/>
    <cellStyle name="Comma 5 19 2" xfId="917" xr:uid="{00000000-0005-0000-0000-0000AE030000}"/>
    <cellStyle name="Comma 5 19 3" xfId="918" xr:uid="{00000000-0005-0000-0000-0000AF030000}"/>
    <cellStyle name="Comma 5 19 4" xfId="919" xr:uid="{00000000-0005-0000-0000-0000B0030000}"/>
    <cellStyle name="Comma 5 2" xfId="920" xr:uid="{00000000-0005-0000-0000-0000B1030000}"/>
    <cellStyle name="Comma 5 2 10" xfId="921" xr:uid="{00000000-0005-0000-0000-0000B2030000}"/>
    <cellStyle name="Comma 5 2 10 2" xfId="922" xr:uid="{00000000-0005-0000-0000-0000B3030000}"/>
    <cellStyle name="Comma 5 2 10 3" xfId="923" xr:uid="{00000000-0005-0000-0000-0000B4030000}"/>
    <cellStyle name="Comma 5 2 10 4" xfId="924" xr:uid="{00000000-0005-0000-0000-0000B5030000}"/>
    <cellStyle name="Comma 5 2 11" xfId="925" xr:uid="{00000000-0005-0000-0000-0000B6030000}"/>
    <cellStyle name="Comma 5 2 11 2" xfId="926" xr:uid="{00000000-0005-0000-0000-0000B7030000}"/>
    <cellStyle name="Comma 5 2 11 3" xfId="927" xr:uid="{00000000-0005-0000-0000-0000B8030000}"/>
    <cellStyle name="Comma 5 2 11 4" xfId="928" xr:uid="{00000000-0005-0000-0000-0000B9030000}"/>
    <cellStyle name="Comma 5 2 12" xfId="929" xr:uid="{00000000-0005-0000-0000-0000BA030000}"/>
    <cellStyle name="Comma 5 2 12 2" xfId="930" xr:uid="{00000000-0005-0000-0000-0000BB030000}"/>
    <cellStyle name="Comma 5 2 12 3" xfId="931" xr:uid="{00000000-0005-0000-0000-0000BC030000}"/>
    <cellStyle name="Comma 5 2 12 4" xfId="932" xr:uid="{00000000-0005-0000-0000-0000BD030000}"/>
    <cellStyle name="Comma 5 2 13" xfId="933" xr:uid="{00000000-0005-0000-0000-0000BE030000}"/>
    <cellStyle name="Comma 5 2 13 2" xfId="934" xr:uid="{00000000-0005-0000-0000-0000BF030000}"/>
    <cellStyle name="Comma 5 2 13 3" xfId="935" xr:uid="{00000000-0005-0000-0000-0000C0030000}"/>
    <cellStyle name="Comma 5 2 13 4" xfId="936" xr:uid="{00000000-0005-0000-0000-0000C1030000}"/>
    <cellStyle name="Comma 5 2 14" xfId="937" xr:uid="{00000000-0005-0000-0000-0000C2030000}"/>
    <cellStyle name="Comma 5 2 14 2" xfId="938" xr:uid="{00000000-0005-0000-0000-0000C3030000}"/>
    <cellStyle name="Comma 5 2 14 3" xfId="939" xr:uid="{00000000-0005-0000-0000-0000C4030000}"/>
    <cellStyle name="Comma 5 2 14 4" xfId="940" xr:uid="{00000000-0005-0000-0000-0000C5030000}"/>
    <cellStyle name="Comma 5 2 15" xfId="941" xr:uid="{00000000-0005-0000-0000-0000C6030000}"/>
    <cellStyle name="Comma 5 2 15 2" xfId="942" xr:uid="{00000000-0005-0000-0000-0000C7030000}"/>
    <cellStyle name="Comma 5 2 15 3" xfId="943" xr:uid="{00000000-0005-0000-0000-0000C8030000}"/>
    <cellStyle name="Comma 5 2 16" xfId="944" xr:uid="{00000000-0005-0000-0000-0000C9030000}"/>
    <cellStyle name="Comma 5 2 17" xfId="945" xr:uid="{00000000-0005-0000-0000-0000CA030000}"/>
    <cellStyle name="Comma 5 2 18" xfId="946" xr:uid="{00000000-0005-0000-0000-0000CB030000}"/>
    <cellStyle name="Comma 5 2 2" xfId="947" xr:uid="{00000000-0005-0000-0000-0000CC030000}"/>
    <cellStyle name="Comma 5 2 2 2" xfId="948" xr:uid="{00000000-0005-0000-0000-0000CD030000}"/>
    <cellStyle name="Comma 5 2 2 3" xfId="949" xr:uid="{00000000-0005-0000-0000-0000CE030000}"/>
    <cellStyle name="Comma 5 2 2 4" xfId="950" xr:uid="{00000000-0005-0000-0000-0000CF030000}"/>
    <cellStyle name="Comma 5 2 3" xfId="951" xr:uid="{00000000-0005-0000-0000-0000D0030000}"/>
    <cellStyle name="Comma 5 2 3 2" xfId="952" xr:uid="{00000000-0005-0000-0000-0000D1030000}"/>
    <cellStyle name="Comma 5 2 3 3" xfId="953" xr:uid="{00000000-0005-0000-0000-0000D2030000}"/>
    <cellStyle name="Comma 5 2 3 4" xfId="954" xr:uid="{00000000-0005-0000-0000-0000D3030000}"/>
    <cellStyle name="Comma 5 2 4" xfId="955" xr:uid="{00000000-0005-0000-0000-0000D4030000}"/>
    <cellStyle name="Comma 5 2 4 2" xfId="956" xr:uid="{00000000-0005-0000-0000-0000D5030000}"/>
    <cellStyle name="Comma 5 2 4 3" xfId="957" xr:uid="{00000000-0005-0000-0000-0000D6030000}"/>
    <cellStyle name="Comma 5 2 4 4" xfId="958" xr:uid="{00000000-0005-0000-0000-0000D7030000}"/>
    <cellStyle name="Comma 5 2 5" xfId="959" xr:uid="{00000000-0005-0000-0000-0000D8030000}"/>
    <cellStyle name="Comma 5 2 5 2" xfId="960" xr:uid="{00000000-0005-0000-0000-0000D9030000}"/>
    <cellStyle name="Comma 5 2 5 3" xfId="961" xr:uid="{00000000-0005-0000-0000-0000DA030000}"/>
    <cellStyle name="Comma 5 2 5 4" xfId="962" xr:uid="{00000000-0005-0000-0000-0000DB030000}"/>
    <cellStyle name="Comma 5 2 6" xfId="963" xr:uid="{00000000-0005-0000-0000-0000DC030000}"/>
    <cellStyle name="Comma 5 2 6 2" xfId="964" xr:uid="{00000000-0005-0000-0000-0000DD030000}"/>
    <cellStyle name="Comma 5 2 6 3" xfId="965" xr:uid="{00000000-0005-0000-0000-0000DE030000}"/>
    <cellStyle name="Comma 5 2 6 4" xfId="966" xr:uid="{00000000-0005-0000-0000-0000DF030000}"/>
    <cellStyle name="Comma 5 2 7" xfId="967" xr:uid="{00000000-0005-0000-0000-0000E0030000}"/>
    <cellStyle name="Comma 5 2 7 2" xfId="968" xr:uid="{00000000-0005-0000-0000-0000E1030000}"/>
    <cellStyle name="Comma 5 2 7 3" xfId="969" xr:uid="{00000000-0005-0000-0000-0000E2030000}"/>
    <cellStyle name="Comma 5 2 7 4" xfId="970" xr:uid="{00000000-0005-0000-0000-0000E3030000}"/>
    <cellStyle name="Comma 5 2 8" xfId="971" xr:uid="{00000000-0005-0000-0000-0000E4030000}"/>
    <cellStyle name="Comma 5 2 8 2" xfId="972" xr:uid="{00000000-0005-0000-0000-0000E5030000}"/>
    <cellStyle name="Comma 5 2 8 3" xfId="973" xr:uid="{00000000-0005-0000-0000-0000E6030000}"/>
    <cellStyle name="Comma 5 2 8 4" xfId="974" xr:uid="{00000000-0005-0000-0000-0000E7030000}"/>
    <cellStyle name="Comma 5 2 9" xfId="975" xr:uid="{00000000-0005-0000-0000-0000E8030000}"/>
    <cellStyle name="Comma 5 2 9 2" xfId="976" xr:uid="{00000000-0005-0000-0000-0000E9030000}"/>
    <cellStyle name="Comma 5 2 9 3" xfId="977" xr:uid="{00000000-0005-0000-0000-0000EA030000}"/>
    <cellStyle name="Comma 5 2 9 4" xfId="978" xr:uid="{00000000-0005-0000-0000-0000EB030000}"/>
    <cellStyle name="Comma 5 20" xfId="979" xr:uid="{00000000-0005-0000-0000-0000EC030000}"/>
    <cellStyle name="Comma 5 20 2" xfId="980" xr:uid="{00000000-0005-0000-0000-0000ED030000}"/>
    <cellStyle name="Comma 5 20 3" xfId="981" xr:uid="{00000000-0005-0000-0000-0000EE030000}"/>
    <cellStyle name="Comma 5 20 4" xfId="982" xr:uid="{00000000-0005-0000-0000-0000EF030000}"/>
    <cellStyle name="Comma 5 21" xfId="983" xr:uid="{00000000-0005-0000-0000-0000F0030000}"/>
    <cellStyle name="Comma 5 21 2" xfId="984" xr:uid="{00000000-0005-0000-0000-0000F1030000}"/>
    <cellStyle name="Comma 5 21 3" xfId="985" xr:uid="{00000000-0005-0000-0000-0000F2030000}"/>
    <cellStyle name="Comma 5 21 4" xfId="986" xr:uid="{00000000-0005-0000-0000-0000F3030000}"/>
    <cellStyle name="Comma 5 22" xfId="987" xr:uid="{00000000-0005-0000-0000-0000F4030000}"/>
    <cellStyle name="Comma 5 23" xfId="988" xr:uid="{00000000-0005-0000-0000-0000F5030000}"/>
    <cellStyle name="Comma 5 24" xfId="989" xr:uid="{00000000-0005-0000-0000-0000F6030000}"/>
    <cellStyle name="Comma 5 3" xfId="990" xr:uid="{00000000-0005-0000-0000-0000F7030000}"/>
    <cellStyle name="Comma 5 3 2" xfId="991" xr:uid="{00000000-0005-0000-0000-0000F8030000}"/>
    <cellStyle name="Comma 5 3 3" xfId="992" xr:uid="{00000000-0005-0000-0000-0000F9030000}"/>
    <cellStyle name="Comma 5 3 4" xfId="993" xr:uid="{00000000-0005-0000-0000-0000FA030000}"/>
    <cellStyle name="Comma 5 4" xfId="994" xr:uid="{00000000-0005-0000-0000-0000FB030000}"/>
    <cellStyle name="Comma 5 4 2" xfId="995" xr:uid="{00000000-0005-0000-0000-0000FC030000}"/>
    <cellStyle name="Comma 5 4 3" xfId="996" xr:uid="{00000000-0005-0000-0000-0000FD030000}"/>
    <cellStyle name="Comma 5 4 4" xfId="997" xr:uid="{00000000-0005-0000-0000-0000FE030000}"/>
    <cellStyle name="Comma 5 5" xfId="998" xr:uid="{00000000-0005-0000-0000-0000FF030000}"/>
    <cellStyle name="Comma 5 5 2" xfId="999" xr:uid="{00000000-0005-0000-0000-000000040000}"/>
    <cellStyle name="Comma 5 5 3" xfId="1000" xr:uid="{00000000-0005-0000-0000-000001040000}"/>
    <cellStyle name="Comma 5 5 4" xfId="1001" xr:uid="{00000000-0005-0000-0000-000002040000}"/>
    <cellStyle name="Comma 5 6" xfId="1002" xr:uid="{00000000-0005-0000-0000-000003040000}"/>
    <cellStyle name="Comma 5 6 2" xfId="1003" xr:uid="{00000000-0005-0000-0000-000004040000}"/>
    <cellStyle name="Comma 5 6 3" xfId="1004" xr:uid="{00000000-0005-0000-0000-000005040000}"/>
    <cellStyle name="Comma 5 6 4" xfId="1005" xr:uid="{00000000-0005-0000-0000-000006040000}"/>
    <cellStyle name="Comma 5 7" xfId="1006" xr:uid="{00000000-0005-0000-0000-000007040000}"/>
    <cellStyle name="Comma 5 7 2" xfId="1007" xr:uid="{00000000-0005-0000-0000-000008040000}"/>
    <cellStyle name="Comma 5 7 3" xfId="1008" xr:uid="{00000000-0005-0000-0000-000009040000}"/>
    <cellStyle name="Comma 5 7 4" xfId="1009" xr:uid="{00000000-0005-0000-0000-00000A040000}"/>
    <cellStyle name="Comma 5 8" xfId="1010" xr:uid="{00000000-0005-0000-0000-00000B040000}"/>
    <cellStyle name="Comma 5 8 2" xfId="1011" xr:uid="{00000000-0005-0000-0000-00000C040000}"/>
    <cellStyle name="Comma 5 8 3" xfId="1012" xr:uid="{00000000-0005-0000-0000-00000D040000}"/>
    <cellStyle name="Comma 5 8 4" xfId="1013" xr:uid="{00000000-0005-0000-0000-00000E040000}"/>
    <cellStyle name="Comma 5 9" xfId="1014" xr:uid="{00000000-0005-0000-0000-00000F040000}"/>
    <cellStyle name="Comma 5 9 2" xfId="1015" xr:uid="{00000000-0005-0000-0000-000010040000}"/>
    <cellStyle name="Comma 5 9 3" xfId="1016" xr:uid="{00000000-0005-0000-0000-000011040000}"/>
    <cellStyle name="Comma 5 9 4" xfId="1017" xr:uid="{00000000-0005-0000-0000-000012040000}"/>
    <cellStyle name="Comma 6" xfId="1018" xr:uid="{00000000-0005-0000-0000-000013040000}"/>
    <cellStyle name="Comma 6 10" xfId="1019" xr:uid="{00000000-0005-0000-0000-000014040000}"/>
    <cellStyle name="Comma 6 10 2" xfId="1020" xr:uid="{00000000-0005-0000-0000-000015040000}"/>
    <cellStyle name="Comma 6 10 3" xfId="1021" xr:uid="{00000000-0005-0000-0000-000016040000}"/>
    <cellStyle name="Comma 6 10 4" xfId="1022" xr:uid="{00000000-0005-0000-0000-000017040000}"/>
    <cellStyle name="Comma 6 11" xfId="1023" xr:uid="{00000000-0005-0000-0000-000018040000}"/>
    <cellStyle name="Comma 6 11 2" xfId="1024" xr:uid="{00000000-0005-0000-0000-000019040000}"/>
    <cellStyle name="Comma 6 11 3" xfId="1025" xr:uid="{00000000-0005-0000-0000-00001A040000}"/>
    <cellStyle name="Comma 6 11 4" xfId="1026" xr:uid="{00000000-0005-0000-0000-00001B040000}"/>
    <cellStyle name="Comma 6 12" xfId="1027" xr:uid="{00000000-0005-0000-0000-00001C040000}"/>
    <cellStyle name="Comma 6 12 2" xfId="1028" xr:uid="{00000000-0005-0000-0000-00001D040000}"/>
    <cellStyle name="Comma 6 12 3" xfId="1029" xr:uid="{00000000-0005-0000-0000-00001E040000}"/>
    <cellStyle name="Comma 6 12 4" xfId="1030" xr:uid="{00000000-0005-0000-0000-00001F040000}"/>
    <cellStyle name="Comma 6 13" xfId="1031" xr:uid="{00000000-0005-0000-0000-000020040000}"/>
    <cellStyle name="Comma 6 13 2" xfId="1032" xr:uid="{00000000-0005-0000-0000-000021040000}"/>
    <cellStyle name="Comma 6 13 3" xfId="1033" xr:uid="{00000000-0005-0000-0000-000022040000}"/>
    <cellStyle name="Comma 6 13 4" xfId="1034" xr:uid="{00000000-0005-0000-0000-000023040000}"/>
    <cellStyle name="Comma 6 14" xfId="1035" xr:uid="{00000000-0005-0000-0000-000024040000}"/>
    <cellStyle name="Comma 6 14 2" xfId="1036" xr:uid="{00000000-0005-0000-0000-000025040000}"/>
    <cellStyle name="Comma 6 14 3" xfId="1037" xr:uid="{00000000-0005-0000-0000-000026040000}"/>
    <cellStyle name="Comma 6 14 4" xfId="1038" xr:uid="{00000000-0005-0000-0000-000027040000}"/>
    <cellStyle name="Comma 6 15" xfId="1039" xr:uid="{00000000-0005-0000-0000-000028040000}"/>
    <cellStyle name="Comma 6 15 2" xfId="1040" xr:uid="{00000000-0005-0000-0000-000029040000}"/>
    <cellStyle name="Comma 6 15 3" xfId="1041" xr:uid="{00000000-0005-0000-0000-00002A040000}"/>
    <cellStyle name="Comma 6 15 4" xfId="1042" xr:uid="{00000000-0005-0000-0000-00002B040000}"/>
    <cellStyle name="Comma 6 16" xfId="1043" xr:uid="{00000000-0005-0000-0000-00002C040000}"/>
    <cellStyle name="Comma 6 16 2" xfId="1044" xr:uid="{00000000-0005-0000-0000-00002D040000}"/>
    <cellStyle name="Comma 6 16 3" xfId="1045" xr:uid="{00000000-0005-0000-0000-00002E040000}"/>
    <cellStyle name="Comma 6 16 4" xfId="1046" xr:uid="{00000000-0005-0000-0000-00002F040000}"/>
    <cellStyle name="Comma 6 17" xfId="1047" xr:uid="{00000000-0005-0000-0000-000030040000}"/>
    <cellStyle name="Comma 6 17 2" xfId="1048" xr:uid="{00000000-0005-0000-0000-000031040000}"/>
    <cellStyle name="Comma 6 17 3" xfId="1049" xr:uid="{00000000-0005-0000-0000-000032040000}"/>
    <cellStyle name="Comma 6 17 4" xfId="1050" xr:uid="{00000000-0005-0000-0000-000033040000}"/>
    <cellStyle name="Comma 6 18" xfId="1051" xr:uid="{00000000-0005-0000-0000-000034040000}"/>
    <cellStyle name="Comma 6 18 2" xfId="1052" xr:uid="{00000000-0005-0000-0000-000035040000}"/>
    <cellStyle name="Comma 6 18 3" xfId="1053" xr:uid="{00000000-0005-0000-0000-000036040000}"/>
    <cellStyle name="Comma 6 18 4" xfId="1054" xr:uid="{00000000-0005-0000-0000-000037040000}"/>
    <cellStyle name="Comma 6 19" xfId="1055" xr:uid="{00000000-0005-0000-0000-000038040000}"/>
    <cellStyle name="Comma 6 19 2" xfId="1056" xr:uid="{00000000-0005-0000-0000-000039040000}"/>
    <cellStyle name="Comma 6 19 3" xfId="1057" xr:uid="{00000000-0005-0000-0000-00003A040000}"/>
    <cellStyle name="Comma 6 19 4" xfId="1058" xr:uid="{00000000-0005-0000-0000-00003B040000}"/>
    <cellStyle name="Comma 6 2" xfId="1059" xr:uid="{00000000-0005-0000-0000-00003C040000}"/>
    <cellStyle name="Comma 6 2 2" xfId="1060" xr:uid="{00000000-0005-0000-0000-00003D040000}"/>
    <cellStyle name="Comma 6 2 3" xfId="1061" xr:uid="{00000000-0005-0000-0000-00003E040000}"/>
    <cellStyle name="Comma 6 2 4" xfId="1062" xr:uid="{00000000-0005-0000-0000-00003F040000}"/>
    <cellStyle name="Comma 6 20" xfId="1063" xr:uid="{00000000-0005-0000-0000-000040040000}"/>
    <cellStyle name="Comma 6 20 2" xfId="1064" xr:uid="{00000000-0005-0000-0000-000041040000}"/>
    <cellStyle name="Comma 6 20 3" xfId="1065" xr:uid="{00000000-0005-0000-0000-000042040000}"/>
    <cellStyle name="Comma 6 20 4" xfId="1066" xr:uid="{00000000-0005-0000-0000-000043040000}"/>
    <cellStyle name="Comma 6 21" xfId="1067" xr:uid="{00000000-0005-0000-0000-000044040000}"/>
    <cellStyle name="Comma 6 21 2" xfId="1068" xr:uid="{00000000-0005-0000-0000-000045040000}"/>
    <cellStyle name="Comma 6 21 3" xfId="1069" xr:uid="{00000000-0005-0000-0000-000046040000}"/>
    <cellStyle name="Comma 6 21 4" xfId="1070" xr:uid="{00000000-0005-0000-0000-000047040000}"/>
    <cellStyle name="Comma 6 22" xfId="1071" xr:uid="{00000000-0005-0000-0000-000048040000}"/>
    <cellStyle name="Comma 6 23" xfId="1072" xr:uid="{00000000-0005-0000-0000-000049040000}"/>
    <cellStyle name="Comma 6 24" xfId="1073" xr:uid="{00000000-0005-0000-0000-00004A040000}"/>
    <cellStyle name="Comma 6 3" xfId="1074" xr:uid="{00000000-0005-0000-0000-00004B040000}"/>
    <cellStyle name="Comma 6 3 2" xfId="1075" xr:uid="{00000000-0005-0000-0000-00004C040000}"/>
    <cellStyle name="Comma 6 3 3" xfId="1076" xr:uid="{00000000-0005-0000-0000-00004D040000}"/>
    <cellStyle name="Comma 6 3 4" xfId="1077" xr:uid="{00000000-0005-0000-0000-00004E040000}"/>
    <cellStyle name="Comma 6 4" xfId="1078" xr:uid="{00000000-0005-0000-0000-00004F040000}"/>
    <cellStyle name="Comma 6 4 2" xfId="1079" xr:uid="{00000000-0005-0000-0000-000050040000}"/>
    <cellStyle name="Comma 6 4 3" xfId="1080" xr:uid="{00000000-0005-0000-0000-000051040000}"/>
    <cellStyle name="Comma 6 4 4" xfId="1081" xr:uid="{00000000-0005-0000-0000-000052040000}"/>
    <cellStyle name="Comma 6 5" xfId="1082" xr:uid="{00000000-0005-0000-0000-000053040000}"/>
    <cellStyle name="Comma 6 5 2" xfId="1083" xr:uid="{00000000-0005-0000-0000-000054040000}"/>
    <cellStyle name="Comma 6 5 3" xfId="1084" xr:uid="{00000000-0005-0000-0000-000055040000}"/>
    <cellStyle name="Comma 6 5 4" xfId="1085" xr:uid="{00000000-0005-0000-0000-000056040000}"/>
    <cellStyle name="Comma 6 6" xfId="1086" xr:uid="{00000000-0005-0000-0000-000057040000}"/>
    <cellStyle name="Comma 6 6 2" xfId="1087" xr:uid="{00000000-0005-0000-0000-000058040000}"/>
    <cellStyle name="Comma 6 6 3" xfId="1088" xr:uid="{00000000-0005-0000-0000-000059040000}"/>
    <cellStyle name="Comma 6 6 4" xfId="1089" xr:uid="{00000000-0005-0000-0000-00005A040000}"/>
    <cellStyle name="Comma 6 7" xfId="1090" xr:uid="{00000000-0005-0000-0000-00005B040000}"/>
    <cellStyle name="Comma 6 7 2" xfId="1091" xr:uid="{00000000-0005-0000-0000-00005C040000}"/>
    <cellStyle name="Comma 6 7 3" xfId="1092" xr:uid="{00000000-0005-0000-0000-00005D040000}"/>
    <cellStyle name="Comma 6 7 4" xfId="1093" xr:uid="{00000000-0005-0000-0000-00005E040000}"/>
    <cellStyle name="Comma 6 8" xfId="1094" xr:uid="{00000000-0005-0000-0000-00005F040000}"/>
    <cellStyle name="Comma 6 8 2" xfId="1095" xr:uid="{00000000-0005-0000-0000-000060040000}"/>
    <cellStyle name="Comma 6 8 3" xfId="1096" xr:uid="{00000000-0005-0000-0000-000061040000}"/>
    <cellStyle name="Comma 6 8 4" xfId="1097" xr:uid="{00000000-0005-0000-0000-000062040000}"/>
    <cellStyle name="Comma 6 9" xfId="1098" xr:uid="{00000000-0005-0000-0000-000063040000}"/>
    <cellStyle name="Comma 6 9 2" xfId="1099" xr:uid="{00000000-0005-0000-0000-000064040000}"/>
    <cellStyle name="Comma 6 9 3" xfId="1100" xr:uid="{00000000-0005-0000-0000-000065040000}"/>
    <cellStyle name="Comma 6 9 4" xfId="1101" xr:uid="{00000000-0005-0000-0000-000066040000}"/>
    <cellStyle name="Comma 7" xfId="1102" xr:uid="{00000000-0005-0000-0000-000067040000}"/>
    <cellStyle name="Comma 7 10" xfId="1103" xr:uid="{00000000-0005-0000-0000-000068040000}"/>
    <cellStyle name="Comma 7 10 2" xfId="1104" xr:uid="{00000000-0005-0000-0000-000069040000}"/>
    <cellStyle name="Comma 7 10 3" xfId="1105" xr:uid="{00000000-0005-0000-0000-00006A040000}"/>
    <cellStyle name="Comma 7 10 4" xfId="1106" xr:uid="{00000000-0005-0000-0000-00006B040000}"/>
    <cellStyle name="Comma 7 11" xfId="1107" xr:uid="{00000000-0005-0000-0000-00006C040000}"/>
    <cellStyle name="Comma 7 11 2" xfId="1108" xr:uid="{00000000-0005-0000-0000-00006D040000}"/>
    <cellStyle name="Comma 7 11 3" xfId="1109" xr:uid="{00000000-0005-0000-0000-00006E040000}"/>
    <cellStyle name="Comma 7 11 4" xfId="1110" xr:uid="{00000000-0005-0000-0000-00006F040000}"/>
    <cellStyle name="Comma 7 12" xfId="1111" xr:uid="{00000000-0005-0000-0000-000070040000}"/>
    <cellStyle name="Comma 7 12 2" xfId="1112" xr:uid="{00000000-0005-0000-0000-000071040000}"/>
    <cellStyle name="Comma 7 12 3" xfId="1113" xr:uid="{00000000-0005-0000-0000-000072040000}"/>
    <cellStyle name="Comma 7 12 4" xfId="1114" xr:uid="{00000000-0005-0000-0000-000073040000}"/>
    <cellStyle name="Comma 7 13" xfId="1115" xr:uid="{00000000-0005-0000-0000-000074040000}"/>
    <cellStyle name="Comma 7 13 2" xfId="1116" xr:uid="{00000000-0005-0000-0000-000075040000}"/>
    <cellStyle name="Comma 7 13 3" xfId="1117" xr:uid="{00000000-0005-0000-0000-000076040000}"/>
    <cellStyle name="Comma 7 13 4" xfId="1118" xr:uid="{00000000-0005-0000-0000-000077040000}"/>
    <cellStyle name="Comma 7 14" xfId="1119" xr:uid="{00000000-0005-0000-0000-000078040000}"/>
    <cellStyle name="Comma 7 14 2" xfId="1120" xr:uid="{00000000-0005-0000-0000-000079040000}"/>
    <cellStyle name="Comma 7 14 3" xfId="1121" xr:uid="{00000000-0005-0000-0000-00007A040000}"/>
    <cellStyle name="Comma 7 14 4" xfId="1122" xr:uid="{00000000-0005-0000-0000-00007B040000}"/>
    <cellStyle name="Comma 7 15" xfId="1123" xr:uid="{00000000-0005-0000-0000-00007C040000}"/>
    <cellStyle name="Comma 7 15 2" xfId="1124" xr:uid="{00000000-0005-0000-0000-00007D040000}"/>
    <cellStyle name="Comma 7 15 3" xfId="1125" xr:uid="{00000000-0005-0000-0000-00007E040000}"/>
    <cellStyle name="Comma 7 15 4" xfId="1126" xr:uid="{00000000-0005-0000-0000-00007F040000}"/>
    <cellStyle name="Comma 7 16" xfId="1127" xr:uid="{00000000-0005-0000-0000-000080040000}"/>
    <cellStyle name="Comma 7 16 2" xfId="1128" xr:uid="{00000000-0005-0000-0000-000081040000}"/>
    <cellStyle name="Comma 7 16 3" xfId="1129" xr:uid="{00000000-0005-0000-0000-000082040000}"/>
    <cellStyle name="Comma 7 16 4" xfId="1130" xr:uid="{00000000-0005-0000-0000-000083040000}"/>
    <cellStyle name="Comma 7 17" xfId="1131" xr:uid="{00000000-0005-0000-0000-000084040000}"/>
    <cellStyle name="Comma 7 17 2" xfId="1132" xr:uid="{00000000-0005-0000-0000-000085040000}"/>
    <cellStyle name="Comma 7 17 3" xfId="1133" xr:uid="{00000000-0005-0000-0000-000086040000}"/>
    <cellStyle name="Comma 7 17 4" xfId="1134" xr:uid="{00000000-0005-0000-0000-000087040000}"/>
    <cellStyle name="Comma 7 18" xfId="1135" xr:uid="{00000000-0005-0000-0000-000088040000}"/>
    <cellStyle name="Comma 7 18 2" xfId="1136" xr:uid="{00000000-0005-0000-0000-000089040000}"/>
    <cellStyle name="Comma 7 18 3" xfId="1137" xr:uid="{00000000-0005-0000-0000-00008A040000}"/>
    <cellStyle name="Comma 7 18 4" xfId="1138" xr:uid="{00000000-0005-0000-0000-00008B040000}"/>
    <cellStyle name="Comma 7 19" xfId="1139" xr:uid="{00000000-0005-0000-0000-00008C040000}"/>
    <cellStyle name="Comma 7 19 2" xfId="1140" xr:uid="{00000000-0005-0000-0000-00008D040000}"/>
    <cellStyle name="Comma 7 19 3" xfId="1141" xr:uid="{00000000-0005-0000-0000-00008E040000}"/>
    <cellStyle name="Comma 7 19 4" xfId="1142" xr:uid="{00000000-0005-0000-0000-00008F040000}"/>
    <cellStyle name="Comma 7 2" xfId="1143" xr:uid="{00000000-0005-0000-0000-000090040000}"/>
    <cellStyle name="Comma 7 2 2" xfId="1144" xr:uid="{00000000-0005-0000-0000-000091040000}"/>
    <cellStyle name="Comma 7 2 3" xfId="1145" xr:uid="{00000000-0005-0000-0000-000092040000}"/>
    <cellStyle name="Comma 7 2 4" xfId="1146" xr:uid="{00000000-0005-0000-0000-000093040000}"/>
    <cellStyle name="Comma 7 20" xfId="1147" xr:uid="{00000000-0005-0000-0000-000094040000}"/>
    <cellStyle name="Comma 7 20 2" xfId="1148" xr:uid="{00000000-0005-0000-0000-000095040000}"/>
    <cellStyle name="Comma 7 20 3" xfId="1149" xr:uid="{00000000-0005-0000-0000-000096040000}"/>
    <cellStyle name="Comma 7 20 4" xfId="1150" xr:uid="{00000000-0005-0000-0000-000097040000}"/>
    <cellStyle name="Comma 7 21" xfId="1151" xr:uid="{00000000-0005-0000-0000-000098040000}"/>
    <cellStyle name="Comma 7 21 2" xfId="1152" xr:uid="{00000000-0005-0000-0000-000099040000}"/>
    <cellStyle name="Comma 7 21 3" xfId="1153" xr:uid="{00000000-0005-0000-0000-00009A040000}"/>
    <cellStyle name="Comma 7 21 4" xfId="1154" xr:uid="{00000000-0005-0000-0000-00009B040000}"/>
    <cellStyle name="Comma 7 22" xfId="1155" xr:uid="{00000000-0005-0000-0000-00009C040000}"/>
    <cellStyle name="Comma 7 23" xfId="1156" xr:uid="{00000000-0005-0000-0000-00009D040000}"/>
    <cellStyle name="Comma 7 24" xfId="1157" xr:uid="{00000000-0005-0000-0000-00009E040000}"/>
    <cellStyle name="Comma 7 3" xfId="1158" xr:uid="{00000000-0005-0000-0000-00009F040000}"/>
    <cellStyle name="Comma 7 3 2" xfId="1159" xr:uid="{00000000-0005-0000-0000-0000A0040000}"/>
    <cellStyle name="Comma 7 3 3" xfId="1160" xr:uid="{00000000-0005-0000-0000-0000A1040000}"/>
    <cellStyle name="Comma 7 3 4" xfId="1161" xr:uid="{00000000-0005-0000-0000-0000A2040000}"/>
    <cellStyle name="Comma 7 4" xfId="1162" xr:uid="{00000000-0005-0000-0000-0000A3040000}"/>
    <cellStyle name="Comma 7 4 2" xfId="1163" xr:uid="{00000000-0005-0000-0000-0000A4040000}"/>
    <cellStyle name="Comma 7 4 3" xfId="1164" xr:uid="{00000000-0005-0000-0000-0000A5040000}"/>
    <cellStyle name="Comma 7 4 4" xfId="1165" xr:uid="{00000000-0005-0000-0000-0000A6040000}"/>
    <cellStyle name="Comma 7 5" xfId="1166" xr:uid="{00000000-0005-0000-0000-0000A7040000}"/>
    <cellStyle name="Comma 7 5 2" xfId="1167" xr:uid="{00000000-0005-0000-0000-0000A8040000}"/>
    <cellStyle name="Comma 7 5 3" xfId="1168" xr:uid="{00000000-0005-0000-0000-0000A9040000}"/>
    <cellStyle name="Comma 7 5 4" xfId="1169" xr:uid="{00000000-0005-0000-0000-0000AA040000}"/>
    <cellStyle name="Comma 7 6" xfId="1170" xr:uid="{00000000-0005-0000-0000-0000AB040000}"/>
    <cellStyle name="Comma 7 6 2" xfId="1171" xr:uid="{00000000-0005-0000-0000-0000AC040000}"/>
    <cellStyle name="Comma 7 6 3" xfId="1172" xr:uid="{00000000-0005-0000-0000-0000AD040000}"/>
    <cellStyle name="Comma 7 6 4" xfId="1173" xr:uid="{00000000-0005-0000-0000-0000AE040000}"/>
    <cellStyle name="Comma 7 7" xfId="1174" xr:uid="{00000000-0005-0000-0000-0000AF040000}"/>
    <cellStyle name="Comma 7 7 2" xfId="1175" xr:uid="{00000000-0005-0000-0000-0000B0040000}"/>
    <cellStyle name="Comma 7 7 3" xfId="1176" xr:uid="{00000000-0005-0000-0000-0000B1040000}"/>
    <cellStyle name="Comma 7 7 4" xfId="1177" xr:uid="{00000000-0005-0000-0000-0000B2040000}"/>
    <cellStyle name="Comma 7 8" xfId="1178" xr:uid="{00000000-0005-0000-0000-0000B3040000}"/>
    <cellStyle name="Comma 7 8 2" xfId="1179" xr:uid="{00000000-0005-0000-0000-0000B4040000}"/>
    <cellStyle name="Comma 7 8 3" xfId="1180" xr:uid="{00000000-0005-0000-0000-0000B5040000}"/>
    <cellStyle name="Comma 7 8 4" xfId="1181" xr:uid="{00000000-0005-0000-0000-0000B6040000}"/>
    <cellStyle name="Comma 7 9" xfId="1182" xr:uid="{00000000-0005-0000-0000-0000B7040000}"/>
    <cellStyle name="Comma 7 9 2" xfId="1183" xr:uid="{00000000-0005-0000-0000-0000B8040000}"/>
    <cellStyle name="Comma 7 9 3" xfId="1184" xr:uid="{00000000-0005-0000-0000-0000B9040000}"/>
    <cellStyle name="Comma 7 9 4" xfId="1185" xr:uid="{00000000-0005-0000-0000-0000BA040000}"/>
    <cellStyle name="Comma 8" xfId="1186" xr:uid="{00000000-0005-0000-0000-0000BB040000}"/>
    <cellStyle name="Comma 8 10" xfId="1187" xr:uid="{00000000-0005-0000-0000-0000BC040000}"/>
    <cellStyle name="Comma 8 10 2" xfId="1188" xr:uid="{00000000-0005-0000-0000-0000BD040000}"/>
    <cellStyle name="Comma 8 10 3" xfId="1189" xr:uid="{00000000-0005-0000-0000-0000BE040000}"/>
    <cellStyle name="Comma 8 10 4" xfId="1190" xr:uid="{00000000-0005-0000-0000-0000BF040000}"/>
    <cellStyle name="Comma 8 11" xfId="1191" xr:uid="{00000000-0005-0000-0000-0000C0040000}"/>
    <cellStyle name="Comma 8 11 2" xfId="1192" xr:uid="{00000000-0005-0000-0000-0000C1040000}"/>
    <cellStyle name="Comma 8 11 3" xfId="1193" xr:uid="{00000000-0005-0000-0000-0000C2040000}"/>
    <cellStyle name="Comma 8 11 4" xfId="1194" xr:uid="{00000000-0005-0000-0000-0000C3040000}"/>
    <cellStyle name="Comma 8 12" xfId="1195" xr:uid="{00000000-0005-0000-0000-0000C4040000}"/>
    <cellStyle name="Comma 8 12 2" xfId="1196" xr:uid="{00000000-0005-0000-0000-0000C5040000}"/>
    <cellStyle name="Comma 8 12 3" xfId="1197" xr:uid="{00000000-0005-0000-0000-0000C6040000}"/>
    <cellStyle name="Comma 8 12 4" xfId="1198" xr:uid="{00000000-0005-0000-0000-0000C7040000}"/>
    <cellStyle name="Comma 8 13" xfId="1199" xr:uid="{00000000-0005-0000-0000-0000C8040000}"/>
    <cellStyle name="Comma 8 13 2" xfId="1200" xr:uid="{00000000-0005-0000-0000-0000C9040000}"/>
    <cellStyle name="Comma 8 13 3" xfId="1201" xr:uid="{00000000-0005-0000-0000-0000CA040000}"/>
    <cellStyle name="Comma 8 13 4" xfId="1202" xr:uid="{00000000-0005-0000-0000-0000CB040000}"/>
    <cellStyle name="Comma 8 14" xfId="1203" xr:uid="{00000000-0005-0000-0000-0000CC040000}"/>
    <cellStyle name="Comma 8 14 2" xfId="1204" xr:uid="{00000000-0005-0000-0000-0000CD040000}"/>
    <cellStyle name="Comma 8 14 3" xfId="1205" xr:uid="{00000000-0005-0000-0000-0000CE040000}"/>
    <cellStyle name="Comma 8 14 4" xfId="1206" xr:uid="{00000000-0005-0000-0000-0000CF040000}"/>
    <cellStyle name="Comma 8 15" xfId="1207" xr:uid="{00000000-0005-0000-0000-0000D0040000}"/>
    <cellStyle name="Comma 8 15 2" xfId="1208" xr:uid="{00000000-0005-0000-0000-0000D1040000}"/>
    <cellStyle name="Comma 8 15 3" xfId="1209" xr:uid="{00000000-0005-0000-0000-0000D2040000}"/>
    <cellStyle name="Comma 8 15 4" xfId="1210" xr:uid="{00000000-0005-0000-0000-0000D3040000}"/>
    <cellStyle name="Comma 8 16" xfId="1211" xr:uid="{00000000-0005-0000-0000-0000D4040000}"/>
    <cellStyle name="Comma 8 16 2" xfId="1212" xr:uid="{00000000-0005-0000-0000-0000D5040000}"/>
    <cellStyle name="Comma 8 16 3" xfId="1213" xr:uid="{00000000-0005-0000-0000-0000D6040000}"/>
    <cellStyle name="Comma 8 16 4" xfId="1214" xr:uid="{00000000-0005-0000-0000-0000D7040000}"/>
    <cellStyle name="Comma 8 17" xfId="1215" xr:uid="{00000000-0005-0000-0000-0000D8040000}"/>
    <cellStyle name="Comma 8 17 2" xfId="1216" xr:uid="{00000000-0005-0000-0000-0000D9040000}"/>
    <cellStyle name="Comma 8 17 3" xfId="1217" xr:uid="{00000000-0005-0000-0000-0000DA040000}"/>
    <cellStyle name="Comma 8 17 4" xfId="1218" xr:uid="{00000000-0005-0000-0000-0000DB040000}"/>
    <cellStyle name="Comma 8 18" xfId="1219" xr:uid="{00000000-0005-0000-0000-0000DC040000}"/>
    <cellStyle name="Comma 8 18 2" xfId="1220" xr:uid="{00000000-0005-0000-0000-0000DD040000}"/>
    <cellStyle name="Comma 8 18 3" xfId="1221" xr:uid="{00000000-0005-0000-0000-0000DE040000}"/>
    <cellStyle name="Comma 8 18 4" xfId="1222" xr:uid="{00000000-0005-0000-0000-0000DF040000}"/>
    <cellStyle name="Comma 8 19" xfId="1223" xr:uid="{00000000-0005-0000-0000-0000E0040000}"/>
    <cellStyle name="Comma 8 19 2" xfId="1224" xr:uid="{00000000-0005-0000-0000-0000E1040000}"/>
    <cellStyle name="Comma 8 19 3" xfId="1225" xr:uid="{00000000-0005-0000-0000-0000E2040000}"/>
    <cellStyle name="Comma 8 19 4" xfId="1226" xr:uid="{00000000-0005-0000-0000-0000E3040000}"/>
    <cellStyle name="Comma 8 2" xfId="1227" xr:uid="{00000000-0005-0000-0000-0000E4040000}"/>
    <cellStyle name="Comma 8 2 2" xfId="1228" xr:uid="{00000000-0005-0000-0000-0000E5040000}"/>
    <cellStyle name="Comma 8 2 3" xfId="1229" xr:uid="{00000000-0005-0000-0000-0000E6040000}"/>
    <cellStyle name="Comma 8 2 4" xfId="1230" xr:uid="{00000000-0005-0000-0000-0000E7040000}"/>
    <cellStyle name="Comma 8 20" xfId="1231" xr:uid="{00000000-0005-0000-0000-0000E8040000}"/>
    <cellStyle name="Comma 8 20 2" xfId="1232" xr:uid="{00000000-0005-0000-0000-0000E9040000}"/>
    <cellStyle name="Comma 8 20 3" xfId="1233" xr:uid="{00000000-0005-0000-0000-0000EA040000}"/>
    <cellStyle name="Comma 8 20 4" xfId="1234" xr:uid="{00000000-0005-0000-0000-0000EB040000}"/>
    <cellStyle name="Comma 8 21" xfId="1235" xr:uid="{00000000-0005-0000-0000-0000EC040000}"/>
    <cellStyle name="Comma 8 21 2" xfId="1236" xr:uid="{00000000-0005-0000-0000-0000ED040000}"/>
    <cellStyle name="Comma 8 21 3" xfId="1237" xr:uid="{00000000-0005-0000-0000-0000EE040000}"/>
    <cellStyle name="Comma 8 21 4" xfId="1238" xr:uid="{00000000-0005-0000-0000-0000EF040000}"/>
    <cellStyle name="Comma 8 22" xfId="1239" xr:uid="{00000000-0005-0000-0000-0000F0040000}"/>
    <cellStyle name="Comma 8 23" xfId="1240" xr:uid="{00000000-0005-0000-0000-0000F1040000}"/>
    <cellStyle name="Comma 8 24" xfId="1241" xr:uid="{00000000-0005-0000-0000-0000F2040000}"/>
    <cellStyle name="Comma 8 3" xfId="1242" xr:uid="{00000000-0005-0000-0000-0000F3040000}"/>
    <cellStyle name="Comma 8 3 2" xfId="1243" xr:uid="{00000000-0005-0000-0000-0000F4040000}"/>
    <cellStyle name="Comma 8 3 3" xfId="1244" xr:uid="{00000000-0005-0000-0000-0000F5040000}"/>
    <cellStyle name="Comma 8 3 4" xfId="1245" xr:uid="{00000000-0005-0000-0000-0000F6040000}"/>
    <cellStyle name="Comma 8 4" xfId="1246" xr:uid="{00000000-0005-0000-0000-0000F7040000}"/>
    <cellStyle name="Comma 8 4 2" xfId="1247" xr:uid="{00000000-0005-0000-0000-0000F8040000}"/>
    <cellStyle name="Comma 8 4 3" xfId="1248" xr:uid="{00000000-0005-0000-0000-0000F9040000}"/>
    <cellStyle name="Comma 8 4 4" xfId="1249" xr:uid="{00000000-0005-0000-0000-0000FA040000}"/>
    <cellStyle name="Comma 8 5" xfId="1250" xr:uid="{00000000-0005-0000-0000-0000FB040000}"/>
    <cellStyle name="Comma 8 5 2" xfId="1251" xr:uid="{00000000-0005-0000-0000-0000FC040000}"/>
    <cellStyle name="Comma 8 5 3" xfId="1252" xr:uid="{00000000-0005-0000-0000-0000FD040000}"/>
    <cellStyle name="Comma 8 5 4" xfId="1253" xr:uid="{00000000-0005-0000-0000-0000FE040000}"/>
    <cellStyle name="Comma 8 6" xfId="1254" xr:uid="{00000000-0005-0000-0000-0000FF040000}"/>
    <cellStyle name="Comma 8 6 2" xfId="1255" xr:uid="{00000000-0005-0000-0000-000000050000}"/>
    <cellStyle name="Comma 8 6 3" xfId="1256" xr:uid="{00000000-0005-0000-0000-000001050000}"/>
    <cellStyle name="Comma 8 6 4" xfId="1257" xr:uid="{00000000-0005-0000-0000-000002050000}"/>
    <cellStyle name="Comma 8 7" xfId="1258" xr:uid="{00000000-0005-0000-0000-000003050000}"/>
    <cellStyle name="Comma 8 7 2" xfId="1259" xr:uid="{00000000-0005-0000-0000-000004050000}"/>
    <cellStyle name="Comma 8 7 3" xfId="1260" xr:uid="{00000000-0005-0000-0000-000005050000}"/>
    <cellStyle name="Comma 8 7 4" xfId="1261" xr:uid="{00000000-0005-0000-0000-000006050000}"/>
    <cellStyle name="Comma 8 8" xfId="1262" xr:uid="{00000000-0005-0000-0000-000007050000}"/>
    <cellStyle name="Comma 8 8 2" xfId="1263" xr:uid="{00000000-0005-0000-0000-000008050000}"/>
    <cellStyle name="Comma 8 8 3" xfId="1264" xr:uid="{00000000-0005-0000-0000-000009050000}"/>
    <cellStyle name="Comma 8 8 4" xfId="1265" xr:uid="{00000000-0005-0000-0000-00000A050000}"/>
    <cellStyle name="Comma 8 9" xfId="1266" xr:uid="{00000000-0005-0000-0000-00000B050000}"/>
    <cellStyle name="Comma 8 9 2" xfId="1267" xr:uid="{00000000-0005-0000-0000-00000C050000}"/>
    <cellStyle name="Comma 8 9 3" xfId="1268" xr:uid="{00000000-0005-0000-0000-00000D050000}"/>
    <cellStyle name="Comma 8 9 4" xfId="1269" xr:uid="{00000000-0005-0000-0000-00000E050000}"/>
    <cellStyle name="Comma 9" xfId="1270" xr:uid="{00000000-0005-0000-0000-00000F050000}"/>
    <cellStyle name="Comma 9 10" xfId="1271" xr:uid="{00000000-0005-0000-0000-000010050000}"/>
    <cellStyle name="Comma 9 10 2" xfId="1272" xr:uid="{00000000-0005-0000-0000-000011050000}"/>
    <cellStyle name="Comma 9 10 3" xfId="1273" xr:uid="{00000000-0005-0000-0000-000012050000}"/>
    <cellStyle name="Comma 9 10 4" xfId="1274" xr:uid="{00000000-0005-0000-0000-000013050000}"/>
    <cellStyle name="Comma 9 11" xfId="1275" xr:uid="{00000000-0005-0000-0000-000014050000}"/>
    <cellStyle name="Comma 9 11 2" xfId="1276" xr:uid="{00000000-0005-0000-0000-000015050000}"/>
    <cellStyle name="Comma 9 11 3" xfId="1277" xr:uid="{00000000-0005-0000-0000-000016050000}"/>
    <cellStyle name="Comma 9 11 4" xfId="1278" xr:uid="{00000000-0005-0000-0000-000017050000}"/>
    <cellStyle name="Comma 9 12" xfId="1279" xr:uid="{00000000-0005-0000-0000-000018050000}"/>
    <cellStyle name="Comma 9 12 2" xfId="1280" xr:uid="{00000000-0005-0000-0000-000019050000}"/>
    <cellStyle name="Comma 9 12 3" xfId="1281" xr:uid="{00000000-0005-0000-0000-00001A050000}"/>
    <cellStyle name="Comma 9 12 4" xfId="1282" xr:uid="{00000000-0005-0000-0000-00001B050000}"/>
    <cellStyle name="Comma 9 13" xfId="1283" xr:uid="{00000000-0005-0000-0000-00001C050000}"/>
    <cellStyle name="Comma 9 13 2" xfId="1284" xr:uid="{00000000-0005-0000-0000-00001D050000}"/>
    <cellStyle name="Comma 9 13 3" xfId="1285" xr:uid="{00000000-0005-0000-0000-00001E050000}"/>
    <cellStyle name="Comma 9 13 4" xfId="1286" xr:uid="{00000000-0005-0000-0000-00001F050000}"/>
    <cellStyle name="Comma 9 14" xfId="1287" xr:uid="{00000000-0005-0000-0000-000020050000}"/>
    <cellStyle name="Comma 9 14 2" xfId="1288" xr:uid="{00000000-0005-0000-0000-000021050000}"/>
    <cellStyle name="Comma 9 14 3" xfId="1289" xr:uid="{00000000-0005-0000-0000-000022050000}"/>
    <cellStyle name="Comma 9 14 4" xfId="1290" xr:uid="{00000000-0005-0000-0000-000023050000}"/>
    <cellStyle name="Comma 9 15" xfId="1291" xr:uid="{00000000-0005-0000-0000-000024050000}"/>
    <cellStyle name="Comma 9 15 2" xfId="1292" xr:uid="{00000000-0005-0000-0000-000025050000}"/>
    <cellStyle name="Comma 9 15 3" xfId="1293" xr:uid="{00000000-0005-0000-0000-000026050000}"/>
    <cellStyle name="Comma 9 15 4" xfId="1294" xr:uid="{00000000-0005-0000-0000-000027050000}"/>
    <cellStyle name="Comma 9 16" xfId="1295" xr:uid="{00000000-0005-0000-0000-000028050000}"/>
    <cellStyle name="Comma 9 16 2" xfId="1296" xr:uid="{00000000-0005-0000-0000-000029050000}"/>
    <cellStyle name="Comma 9 16 3" xfId="1297" xr:uid="{00000000-0005-0000-0000-00002A050000}"/>
    <cellStyle name="Comma 9 16 4" xfId="1298" xr:uid="{00000000-0005-0000-0000-00002B050000}"/>
    <cellStyle name="Comma 9 17" xfId="1299" xr:uid="{00000000-0005-0000-0000-00002C050000}"/>
    <cellStyle name="Comma 9 17 2" xfId="1300" xr:uid="{00000000-0005-0000-0000-00002D050000}"/>
    <cellStyle name="Comma 9 17 3" xfId="1301" xr:uid="{00000000-0005-0000-0000-00002E050000}"/>
    <cellStyle name="Comma 9 17 4" xfId="1302" xr:uid="{00000000-0005-0000-0000-00002F050000}"/>
    <cellStyle name="Comma 9 18" xfId="1303" xr:uid="{00000000-0005-0000-0000-000030050000}"/>
    <cellStyle name="Comma 9 18 2" xfId="1304" xr:uid="{00000000-0005-0000-0000-000031050000}"/>
    <cellStyle name="Comma 9 18 3" xfId="1305" xr:uid="{00000000-0005-0000-0000-000032050000}"/>
    <cellStyle name="Comma 9 18 4" xfId="1306" xr:uid="{00000000-0005-0000-0000-000033050000}"/>
    <cellStyle name="Comma 9 19" xfId="1307" xr:uid="{00000000-0005-0000-0000-000034050000}"/>
    <cellStyle name="Comma 9 19 2" xfId="1308" xr:uid="{00000000-0005-0000-0000-000035050000}"/>
    <cellStyle name="Comma 9 19 3" xfId="1309" xr:uid="{00000000-0005-0000-0000-000036050000}"/>
    <cellStyle name="Comma 9 19 4" xfId="1310" xr:uid="{00000000-0005-0000-0000-000037050000}"/>
    <cellStyle name="Comma 9 2" xfId="1311" xr:uid="{00000000-0005-0000-0000-000038050000}"/>
    <cellStyle name="Comma 9 2 2" xfId="1312" xr:uid="{00000000-0005-0000-0000-000039050000}"/>
    <cellStyle name="Comma 9 2 3" xfId="1313" xr:uid="{00000000-0005-0000-0000-00003A050000}"/>
    <cellStyle name="Comma 9 2 4" xfId="1314" xr:uid="{00000000-0005-0000-0000-00003B050000}"/>
    <cellStyle name="Comma 9 20" xfId="1315" xr:uid="{00000000-0005-0000-0000-00003C050000}"/>
    <cellStyle name="Comma 9 20 2" xfId="1316" xr:uid="{00000000-0005-0000-0000-00003D050000}"/>
    <cellStyle name="Comma 9 20 3" xfId="1317" xr:uid="{00000000-0005-0000-0000-00003E050000}"/>
    <cellStyle name="Comma 9 20 4" xfId="1318" xr:uid="{00000000-0005-0000-0000-00003F050000}"/>
    <cellStyle name="Comma 9 21" xfId="1319" xr:uid="{00000000-0005-0000-0000-000040050000}"/>
    <cellStyle name="Comma 9 21 2" xfId="1320" xr:uid="{00000000-0005-0000-0000-000041050000}"/>
    <cellStyle name="Comma 9 21 3" xfId="1321" xr:uid="{00000000-0005-0000-0000-000042050000}"/>
    <cellStyle name="Comma 9 22" xfId="1322" xr:uid="{00000000-0005-0000-0000-000043050000}"/>
    <cellStyle name="Comma 9 23" xfId="1323" xr:uid="{00000000-0005-0000-0000-000044050000}"/>
    <cellStyle name="Comma 9 24" xfId="1324" xr:uid="{00000000-0005-0000-0000-000045050000}"/>
    <cellStyle name="Comma 9 3" xfId="1325" xr:uid="{00000000-0005-0000-0000-000046050000}"/>
    <cellStyle name="Comma 9 3 2" xfId="1326" xr:uid="{00000000-0005-0000-0000-000047050000}"/>
    <cellStyle name="Comma 9 3 3" xfId="1327" xr:uid="{00000000-0005-0000-0000-000048050000}"/>
    <cellStyle name="Comma 9 3 4" xfId="1328" xr:uid="{00000000-0005-0000-0000-000049050000}"/>
    <cellStyle name="Comma 9 4" xfId="1329" xr:uid="{00000000-0005-0000-0000-00004A050000}"/>
    <cellStyle name="Comma 9 4 2" xfId="1330" xr:uid="{00000000-0005-0000-0000-00004B050000}"/>
    <cellStyle name="Comma 9 4 3" xfId="1331" xr:uid="{00000000-0005-0000-0000-00004C050000}"/>
    <cellStyle name="Comma 9 4 4" xfId="1332" xr:uid="{00000000-0005-0000-0000-00004D050000}"/>
    <cellStyle name="Comma 9 5" xfId="1333" xr:uid="{00000000-0005-0000-0000-00004E050000}"/>
    <cellStyle name="Comma 9 5 2" xfId="1334" xr:uid="{00000000-0005-0000-0000-00004F050000}"/>
    <cellStyle name="Comma 9 5 3" xfId="1335" xr:uid="{00000000-0005-0000-0000-000050050000}"/>
    <cellStyle name="Comma 9 5 4" xfId="1336" xr:uid="{00000000-0005-0000-0000-000051050000}"/>
    <cellStyle name="Comma 9 6" xfId="1337" xr:uid="{00000000-0005-0000-0000-000052050000}"/>
    <cellStyle name="Comma 9 6 2" xfId="1338" xr:uid="{00000000-0005-0000-0000-000053050000}"/>
    <cellStyle name="Comma 9 6 3" xfId="1339" xr:uid="{00000000-0005-0000-0000-000054050000}"/>
    <cellStyle name="Comma 9 6 4" xfId="1340" xr:uid="{00000000-0005-0000-0000-000055050000}"/>
    <cellStyle name="Comma 9 7" xfId="1341" xr:uid="{00000000-0005-0000-0000-000056050000}"/>
    <cellStyle name="Comma 9 7 2" xfId="1342" xr:uid="{00000000-0005-0000-0000-000057050000}"/>
    <cellStyle name="Comma 9 7 3" xfId="1343" xr:uid="{00000000-0005-0000-0000-000058050000}"/>
    <cellStyle name="Comma 9 7 4" xfId="1344" xr:uid="{00000000-0005-0000-0000-000059050000}"/>
    <cellStyle name="Comma 9 8" xfId="1345" xr:uid="{00000000-0005-0000-0000-00005A050000}"/>
    <cellStyle name="Comma 9 8 2" xfId="1346" xr:uid="{00000000-0005-0000-0000-00005B050000}"/>
    <cellStyle name="Comma 9 8 3" xfId="1347" xr:uid="{00000000-0005-0000-0000-00005C050000}"/>
    <cellStyle name="Comma 9 8 4" xfId="1348" xr:uid="{00000000-0005-0000-0000-00005D050000}"/>
    <cellStyle name="Comma 9 9" xfId="1349" xr:uid="{00000000-0005-0000-0000-00005E050000}"/>
    <cellStyle name="Comma 9 9 2" xfId="1350" xr:uid="{00000000-0005-0000-0000-00005F050000}"/>
    <cellStyle name="Comma 9 9 3" xfId="1351" xr:uid="{00000000-0005-0000-0000-000060050000}"/>
    <cellStyle name="Comma 9 9 4" xfId="1352" xr:uid="{00000000-0005-0000-0000-000061050000}"/>
    <cellStyle name="Currency [0] 2" xfId="2641" xr:uid="{00000000-0005-0000-0000-000062050000}"/>
    <cellStyle name="Currency 10" xfId="1353" xr:uid="{00000000-0005-0000-0000-000063050000}"/>
    <cellStyle name="Currency 10 2" xfId="1354" xr:uid="{00000000-0005-0000-0000-000064050000}"/>
    <cellStyle name="Currency 10 3" xfId="1355" xr:uid="{00000000-0005-0000-0000-000065050000}"/>
    <cellStyle name="Currency 10 4" xfId="1356" xr:uid="{00000000-0005-0000-0000-000066050000}"/>
    <cellStyle name="Currency 11" xfId="1357" xr:uid="{00000000-0005-0000-0000-000067050000}"/>
    <cellStyle name="Currency 11 2" xfId="1358" xr:uid="{00000000-0005-0000-0000-000068050000}"/>
    <cellStyle name="Currency 11 3" xfId="1359" xr:uid="{00000000-0005-0000-0000-000069050000}"/>
    <cellStyle name="Currency 11 4" xfId="1360" xr:uid="{00000000-0005-0000-0000-00006A050000}"/>
    <cellStyle name="Currency 12" xfId="1361" xr:uid="{00000000-0005-0000-0000-00006B050000}"/>
    <cellStyle name="Currency 12 2" xfId="1362" xr:uid="{00000000-0005-0000-0000-00006C050000}"/>
    <cellStyle name="Currency 12 3" xfId="1363" xr:uid="{00000000-0005-0000-0000-00006D050000}"/>
    <cellStyle name="Currency 12 4" xfId="1364" xr:uid="{00000000-0005-0000-0000-00006E050000}"/>
    <cellStyle name="Currency 13" xfId="1365" xr:uid="{00000000-0005-0000-0000-00006F050000}"/>
    <cellStyle name="Currency 13 2" xfId="1366" xr:uid="{00000000-0005-0000-0000-000070050000}"/>
    <cellStyle name="Currency 13 3" xfId="1367" xr:uid="{00000000-0005-0000-0000-000071050000}"/>
    <cellStyle name="Currency 13 4" xfId="1368" xr:uid="{00000000-0005-0000-0000-000072050000}"/>
    <cellStyle name="Currency 14" xfId="1369" xr:uid="{00000000-0005-0000-0000-000073050000}"/>
    <cellStyle name="Currency 14 2" xfId="1370" xr:uid="{00000000-0005-0000-0000-000074050000}"/>
    <cellStyle name="Currency 14 3" xfId="1371" xr:uid="{00000000-0005-0000-0000-000075050000}"/>
    <cellStyle name="Currency 14 4" xfId="1372" xr:uid="{00000000-0005-0000-0000-000076050000}"/>
    <cellStyle name="Currency 15" xfId="1373" xr:uid="{00000000-0005-0000-0000-000077050000}"/>
    <cellStyle name="Currency 15 2" xfId="1374" xr:uid="{00000000-0005-0000-0000-000078050000}"/>
    <cellStyle name="Currency 15 3" xfId="1375" xr:uid="{00000000-0005-0000-0000-000079050000}"/>
    <cellStyle name="Currency 15 4" xfId="1376" xr:uid="{00000000-0005-0000-0000-00007A050000}"/>
    <cellStyle name="Currency 16" xfId="1377" xr:uid="{00000000-0005-0000-0000-00007B050000}"/>
    <cellStyle name="Currency 16 2" xfId="1378" xr:uid="{00000000-0005-0000-0000-00007C050000}"/>
    <cellStyle name="Currency 16 3" xfId="1379" xr:uid="{00000000-0005-0000-0000-00007D050000}"/>
    <cellStyle name="Currency 16 4" xfId="1380" xr:uid="{00000000-0005-0000-0000-00007E050000}"/>
    <cellStyle name="Currency 17" xfId="1381" xr:uid="{00000000-0005-0000-0000-00007F050000}"/>
    <cellStyle name="Currency 17 2" xfId="1382" xr:uid="{00000000-0005-0000-0000-000080050000}"/>
    <cellStyle name="Currency 17 3" xfId="1383" xr:uid="{00000000-0005-0000-0000-000081050000}"/>
    <cellStyle name="Currency 17 4" xfId="1384" xr:uid="{00000000-0005-0000-0000-000082050000}"/>
    <cellStyle name="Currency 18" xfId="1385" xr:uid="{00000000-0005-0000-0000-000083050000}"/>
    <cellStyle name="Currency 18 2" xfId="1386" xr:uid="{00000000-0005-0000-0000-000084050000}"/>
    <cellStyle name="Currency 18 3" xfId="1387" xr:uid="{00000000-0005-0000-0000-000085050000}"/>
    <cellStyle name="Currency 18 4" xfId="1388" xr:uid="{00000000-0005-0000-0000-000086050000}"/>
    <cellStyle name="Currency 19" xfId="1389" xr:uid="{00000000-0005-0000-0000-000087050000}"/>
    <cellStyle name="Currency 19 2" xfId="1390" xr:uid="{00000000-0005-0000-0000-000088050000}"/>
    <cellStyle name="Currency 19 3" xfId="1391" xr:uid="{00000000-0005-0000-0000-000089050000}"/>
    <cellStyle name="Currency 19 4" xfId="1392" xr:uid="{00000000-0005-0000-0000-00008A050000}"/>
    <cellStyle name="Currency 2" xfId="1393" xr:uid="{00000000-0005-0000-0000-00008B050000}"/>
    <cellStyle name="Currency 2 2" xfId="2633" xr:uid="{00000000-0005-0000-0000-00008C050000}"/>
    <cellStyle name="Currency 20" xfId="1394" xr:uid="{00000000-0005-0000-0000-00008D050000}"/>
    <cellStyle name="Currency 20 2" xfId="1395" xr:uid="{00000000-0005-0000-0000-00008E050000}"/>
    <cellStyle name="Currency 20 3" xfId="1396" xr:uid="{00000000-0005-0000-0000-00008F050000}"/>
    <cellStyle name="Currency 20 4" xfId="1397" xr:uid="{00000000-0005-0000-0000-000090050000}"/>
    <cellStyle name="Currency 21" xfId="1398" xr:uid="{00000000-0005-0000-0000-000091050000}"/>
    <cellStyle name="Currency 21 2" xfId="1399" xr:uid="{00000000-0005-0000-0000-000092050000}"/>
    <cellStyle name="Currency 21 3" xfId="1400" xr:uid="{00000000-0005-0000-0000-000093050000}"/>
    <cellStyle name="Currency 21 4" xfId="1401" xr:uid="{00000000-0005-0000-0000-000094050000}"/>
    <cellStyle name="Currency 22" xfId="1402" xr:uid="{00000000-0005-0000-0000-000095050000}"/>
    <cellStyle name="Currency 22 2" xfId="1403" xr:uid="{00000000-0005-0000-0000-000096050000}"/>
    <cellStyle name="Currency 22 3" xfId="1404" xr:uid="{00000000-0005-0000-0000-000097050000}"/>
    <cellStyle name="Currency 22 4" xfId="1405" xr:uid="{00000000-0005-0000-0000-000098050000}"/>
    <cellStyle name="Currency 23" xfId="1406" xr:uid="{00000000-0005-0000-0000-000099050000}"/>
    <cellStyle name="Currency 23 2" xfId="1407" xr:uid="{00000000-0005-0000-0000-00009A050000}"/>
    <cellStyle name="Currency 23 3" xfId="1408" xr:uid="{00000000-0005-0000-0000-00009B050000}"/>
    <cellStyle name="Currency 23 4" xfId="1409" xr:uid="{00000000-0005-0000-0000-00009C050000}"/>
    <cellStyle name="Currency 24" xfId="1410" xr:uid="{00000000-0005-0000-0000-00009D050000}"/>
    <cellStyle name="Currency 24 2" xfId="1411" xr:uid="{00000000-0005-0000-0000-00009E050000}"/>
    <cellStyle name="Currency 24 3" xfId="1412" xr:uid="{00000000-0005-0000-0000-00009F050000}"/>
    <cellStyle name="Currency 24 4" xfId="1413" xr:uid="{00000000-0005-0000-0000-0000A0050000}"/>
    <cellStyle name="Currency 25" xfId="1414" xr:uid="{00000000-0005-0000-0000-0000A1050000}"/>
    <cellStyle name="Currency 25 2" xfId="1415" xr:uid="{00000000-0005-0000-0000-0000A2050000}"/>
    <cellStyle name="Currency 25 3" xfId="1416" xr:uid="{00000000-0005-0000-0000-0000A3050000}"/>
    <cellStyle name="Currency 25 4" xfId="1417" xr:uid="{00000000-0005-0000-0000-0000A4050000}"/>
    <cellStyle name="Currency 26" xfId="1418" xr:uid="{00000000-0005-0000-0000-0000A5050000}"/>
    <cellStyle name="Currency 26 2" xfId="1419" xr:uid="{00000000-0005-0000-0000-0000A6050000}"/>
    <cellStyle name="Currency 26 3" xfId="1420" xr:uid="{00000000-0005-0000-0000-0000A7050000}"/>
    <cellStyle name="Currency 26 4" xfId="1421" xr:uid="{00000000-0005-0000-0000-0000A8050000}"/>
    <cellStyle name="Currency 27" xfId="1422" xr:uid="{00000000-0005-0000-0000-0000A9050000}"/>
    <cellStyle name="Currency 27 2" xfId="1423" xr:uid="{00000000-0005-0000-0000-0000AA050000}"/>
    <cellStyle name="Currency 27 3" xfId="1424" xr:uid="{00000000-0005-0000-0000-0000AB050000}"/>
    <cellStyle name="Currency 27 4" xfId="1425" xr:uid="{00000000-0005-0000-0000-0000AC050000}"/>
    <cellStyle name="Currency 28" xfId="1426" xr:uid="{00000000-0005-0000-0000-0000AD050000}"/>
    <cellStyle name="Currency 29" xfId="1427" xr:uid="{00000000-0005-0000-0000-0000AE050000}"/>
    <cellStyle name="Currency 3" xfId="1428" xr:uid="{00000000-0005-0000-0000-0000AF050000}"/>
    <cellStyle name="Currency 3 10" xfId="1429" xr:uid="{00000000-0005-0000-0000-0000B0050000}"/>
    <cellStyle name="Currency 3 10 2" xfId="1430" xr:uid="{00000000-0005-0000-0000-0000B1050000}"/>
    <cellStyle name="Currency 3 10 3" xfId="1431" xr:uid="{00000000-0005-0000-0000-0000B2050000}"/>
    <cellStyle name="Currency 3 10 4" xfId="1432" xr:uid="{00000000-0005-0000-0000-0000B3050000}"/>
    <cellStyle name="Currency 3 11" xfId="1433" xr:uid="{00000000-0005-0000-0000-0000B4050000}"/>
    <cellStyle name="Currency 3 11 2" xfId="1434" xr:uid="{00000000-0005-0000-0000-0000B5050000}"/>
    <cellStyle name="Currency 3 11 3" xfId="1435" xr:uid="{00000000-0005-0000-0000-0000B6050000}"/>
    <cellStyle name="Currency 3 11 4" xfId="1436" xr:uid="{00000000-0005-0000-0000-0000B7050000}"/>
    <cellStyle name="Currency 3 12" xfId="1437" xr:uid="{00000000-0005-0000-0000-0000B8050000}"/>
    <cellStyle name="Currency 3 12 2" xfId="1438" xr:uid="{00000000-0005-0000-0000-0000B9050000}"/>
    <cellStyle name="Currency 3 12 3" xfId="1439" xr:uid="{00000000-0005-0000-0000-0000BA050000}"/>
    <cellStyle name="Currency 3 12 4" xfId="1440" xr:uid="{00000000-0005-0000-0000-0000BB050000}"/>
    <cellStyle name="Currency 3 13" xfId="1441" xr:uid="{00000000-0005-0000-0000-0000BC050000}"/>
    <cellStyle name="Currency 3 13 2" xfId="1442" xr:uid="{00000000-0005-0000-0000-0000BD050000}"/>
    <cellStyle name="Currency 3 13 3" xfId="1443" xr:uid="{00000000-0005-0000-0000-0000BE050000}"/>
    <cellStyle name="Currency 3 13 4" xfId="1444" xr:uid="{00000000-0005-0000-0000-0000BF050000}"/>
    <cellStyle name="Currency 3 14" xfId="1445" xr:uid="{00000000-0005-0000-0000-0000C0050000}"/>
    <cellStyle name="Currency 3 14 2" xfId="1446" xr:uid="{00000000-0005-0000-0000-0000C1050000}"/>
    <cellStyle name="Currency 3 14 3" xfId="1447" xr:uid="{00000000-0005-0000-0000-0000C2050000}"/>
    <cellStyle name="Currency 3 14 4" xfId="1448" xr:uid="{00000000-0005-0000-0000-0000C3050000}"/>
    <cellStyle name="Currency 3 15" xfId="1449" xr:uid="{00000000-0005-0000-0000-0000C4050000}"/>
    <cellStyle name="Currency 3 15 2" xfId="1450" xr:uid="{00000000-0005-0000-0000-0000C5050000}"/>
    <cellStyle name="Currency 3 15 3" xfId="1451" xr:uid="{00000000-0005-0000-0000-0000C6050000}"/>
    <cellStyle name="Currency 3 15 4" xfId="1452" xr:uid="{00000000-0005-0000-0000-0000C7050000}"/>
    <cellStyle name="Currency 3 16" xfId="1453" xr:uid="{00000000-0005-0000-0000-0000C8050000}"/>
    <cellStyle name="Currency 3 16 2" xfId="1454" xr:uid="{00000000-0005-0000-0000-0000C9050000}"/>
    <cellStyle name="Currency 3 16 3" xfId="1455" xr:uid="{00000000-0005-0000-0000-0000CA050000}"/>
    <cellStyle name="Currency 3 16 4" xfId="1456" xr:uid="{00000000-0005-0000-0000-0000CB050000}"/>
    <cellStyle name="Currency 3 17" xfId="1457" xr:uid="{00000000-0005-0000-0000-0000CC050000}"/>
    <cellStyle name="Currency 3 17 2" xfId="1458" xr:uid="{00000000-0005-0000-0000-0000CD050000}"/>
    <cellStyle name="Currency 3 17 3" xfId="1459" xr:uid="{00000000-0005-0000-0000-0000CE050000}"/>
    <cellStyle name="Currency 3 17 4" xfId="1460" xr:uid="{00000000-0005-0000-0000-0000CF050000}"/>
    <cellStyle name="Currency 3 18" xfId="1461" xr:uid="{00000000-0005-0000-0000-0000D0050000}"/>
    <cellStyle name="Currency 3 18 2" xfId="1462" xr:uid="{00000000-0005-0000-0000-0000D1050000}"/>
    <cellStyle name="Currency 3 18 3" xfId="1463" xr:uid="{00000000-0005-0000-0000-0000D2050000}"/>
    <cellStyle name="Currency 3 18 4" xfId="1464" xr:uid="{00000000-0005-0000-0000-0000D3050000}"/>
    <cellStyle name="Currency 3 19" xfId="1465" xr:uid="{00000000-0005-0000-0000-0000D4050000}"/>
    <cellStyle name="Currency 3 19 2" xfId="1466" xr:uid="{00000000-0005-0000-0000-0000D5050000}"/>
    <cellStyle name="Currency 3 19 3" xfId="1467" xr:uid="{00000000-0005-0000-0000-0000D6050000}"/>
    <cellStyle name="Currency 3 19 4" xfId="1468" xr:uid="{00000000-0005-0000-0000-0000D7050000}"/>
    <cellStyle name="Currency 3 2" xfId="1469" xr:uid="{00000000-0005-0000-0000-0000D8050000}"/>
    <cellStyle name="Currency 3 2 2" xfId="1470" xr:uid="{00000000-0005-0000-0000-0000D9050000}"/>
    <cellStyle name="Currency 3 2 3" xfId="1471" xr:uid="{00000000-0005-0000-0000-0000DA050000}"/>
    <cellStyle name="Currency 3 2 4" xfId="1472" xr:uid="{00000000-0005-0000-0000-0000DB050000}"/>
    <cellStyle name="Currency 3 20" xfId="1473" xr:uid="{00000000-0005-0000-0000-0000DC050000}"/>
    <cellStyle name="Currency 3 20 2" xfId="1474" xr:uid="{00000000-0005-0000-0000-0000DD050000}"/>
    <cellStyle name="Currency 3 20 3" xfId="1475" xr:uid="{00000000-0005-0000-0000-0000DE050000}"/>
    <cellStyle name="Currency 3 20 4" xfId="1476" xr:uid="{00000000-0005-0000-0000-0000DF050000}"/>
    <cellStyle name="Currency 3 21" xfId="1477" xr:uid="{00000000-0005-0000-0000-0000E0050000}"/>
    <cellStyle name="Currency 3 21 2" xfId="1478" xr:uid="{00000000-0005-0000-0000-0000E1050000}"/>
    <cellStyle name="Currency 3 21 3" xfId="1479" xr:uid="{00000000-0005-0000-0000-0000E2050000}"/>
    <cellStyle name="Currency 3 21 4" xfId="1480" xr:uid="{00000000-0005-0000-0000-0000E3050000}"/>
    <cellStyle name="Currency 3 22" xfId="1481" xr:uid="{00000000-0005-0000-0000-0000E4050000}"/>
    <cellStyle name="Currency 3 23" xfId="1482" xr:uid="{00000000-0005-0000-0000-0000E5050000}"/>
    <cellStyle name="Currency 3 24" xfId="1483" xr:uid="{00000000-0005-0000-0000-0000E6050000}"/>
    <cellStyle name="Currency 3 3" xfId="1484" xr:uid="{00000000-0005-0000-0000-0000E7050000}"/>
    <cellStyle name="Currency 3 3 2" xfId="1485" xr:uid="{00000000-0005-0000-0000-0000E8050000}"/>
    <cellStyle name="Currency 3 3 3" xfId="1486" xr:uid="{00000000-0005-0000-0000-0000E9050000}"/>
    <cellStyle name="Currency 3 3 4" xfId="1487" xr:uid="{00000000-0005-0000-0000-0000EA050000}"/>
    <cellStyle name="Currency 3 4" xfId="1488" xr:uid="{00000000-0005-0000-0000-0000EB050000}"/>
    <cellStyle name="Currency 3 4 2" xfId="1489" xr:uid="{00000000-0005-0000-0000-0000EC050000}"/>
    <cellStyle name="Currency 3 4 3" xfId="1490" xr:uid="{00000000-0005-0000-0000-0000ED050000}"/>
    <cellStyle name="Currency 3 4 4" xfId="1491" xr:uid="{00000000-0005-0000-0000-0000EE050000}"/>
    <cellStyle name="Currency 3 5" xfId="1492" xr:uid="{00000000-0005-0000-0000-0000EF050000}"/>
    <cellStyle name="Currency 3 5 2" xfId="1493" xr:uid="{00000000-0005-0000-0000-0000F0050000}"/>
    <cellStyle name="Currency 3 5 3" xfId="1494" xr:uid="{00000000-0005-0000-0000-0000F1050000}"/>
    <cellStyle name="Currency 3 5 4" xfId="1495" xr:uid="{00000000-0005-0000-0000-0000F2050000}"/>
    <cellStyle name="Currency 3 6" xfId="1496" xr:uid="{00000000-0005-0000-0000-0000F3050000}"/>
    <cellStyle name="Currency 3 6 2" xfId="1497" xr:uid="{00000000-0005-0000-0000-0000F4050000}"/>
    <cellStyle name="Currency 3 6 3" xfId="1498" xr:uid="{00000000-0005-0000-0000-0000F5050000}"/>
    <cellStyle name="Currency 3 6 4" xfId="1499" xr:uid="{00000000-0005-0000-0000-0000F6050000}"/>
    <cellStyle name="Currency 3 7" xfId="1500" xr:uid="{00000000-0005-0000-0000-0000F7050000}"/>
    <cellStyle name="Currency 3 7 2" xfId="1501" xr:uid="{00000000-0005-0000-0000-0000F8050000}"/>
    <cellStyle name="Currency 3 7 3" xfId="1502" xr:uid="{00000000-0005-0000-0000-0000F9050000}"/>
    <cellStyle name="Currency 3 7 4" xfId="1503" xr:uid="{00000000-0005-0000-0000-0000FA050000}"/>
    <cellStyle name="Currency 3 8" xfId="1504" xr:uid="{00000000-0005-0000-0000-0000FB050000}"/>
    <cellStyle name="Currency 3 8 2" xfId="1505" xr:uid="{00000000-0005-0000-0000-0000FC050000}"/>
    <cellStyle name="Currency 3 8 3" xfId="1506" xr:uid="{00000000-0005-0000-0000-0000FD050000}"/>
    <cellStyle name="Currency 3 8 4" xfId="1507" xr:uid="{00000000-0005-0000-0000-0000FE050000}"/>
    <cellStyle name="Currency 3 9" xfId="1508" xr:uid="{00000000-0005-0000-0000-0000FF050000}"/>
    <cellStyle name="Currency 3 9 2" xfId="1509" xr:uid="{00000000-0005-0000-0000-000000060000}"/>
    <cellStyle name="Currency 3 9 3" xfId="1510" xr:uid="{00000000-0005-0000-0000-000001060000}"/>
    <cellStyle name="Currency 3 9 4" xfId="1511" xr:uid="{00000000-0005-0000-0000-000002060000}"/>
    <cellStyle name="Currency 30" xfId="1512" xr:uid="{00000000-0005-0000-0000-000003060000}"/>
    <cellStyle name="Currency 31" xfId="2625" xr:uid="{00000000-0005-0000-0000-000004060000}"/>
    <cellStyle name="Currency 32" xfId="2618" xr:uid="{00000000-0005-0000-0000-000005060000}"/>
    <cellStyle name="Currency 33" xfId="2643" xr:uid="{00000000-0005-0000-0000-000006060000}"/>
    <cellStyle name="Currency 34" xfId="2635" xr:uid="{00000000-0005-0000-0000-000007060000}"/>
    <cellStyle name="Currency 35" xfId="2651" xr:uid="{00000000-0005-0000-0000-000008060000}"/>
    <cellStyle name="Currency 36" xfId="2655" xr:uid="{00000000-0005-0000-0000-000009060000}"/>
    <cellStyle name="Currency 37" xfId="12" xr:uid="{00000000-0005-0000-0000-00000A060000}"/>
    <cellStyle name="Currency 4" xfId="1513" xr:uid="{00000000-0005-0000-0000-00000B060000}"/>
    <cellStyle name="Currency 4 10" xfId="1514" xr:uid="{00000000-0005-0000-0000-00000C060000}"/>
    <cellStyle name="Currency 4 10 2" xfId="1515" xr:uid="{00000000-0005-0000-0000-00000D060000}"/>
    <cellStyle name="Currency 4 10 3" xfId="1516" xr:uid="{00000000-0005-0000-0000-00000E060000}"/>
    <cellStyle name="Currency 4 10 4" xfId="1517" xr:uid="{00000000-0005-0000-0000-00000F060000}"/>
    <cellStyle name="Currency 4 11" xfId="1518" xr:uid="{00000000-0005-0000-0000-000010060000}"/>
    <cellStyle name="Currency 4 11 2" xfId="1519" xr:uid="{00000000-0005-0000-0000-000011060000}"/>
    <cellStyle name="Currency 4 11 3" xfId="1520" xr:uid="{00000000-0005-0000-0000-000012060000}"/>
    <cellStyle name="Currency 4 11 4" xfId="1521" xr:uid="{00000000-0005-0000-0000-000013060000}"/>
    <cellStyle name="Currency 4 12" xfId="1522" xr:uid="{00000000-0005-0000-0000-000014060000}"/>
    <cellStyle name="Currency 4 12 2" xfId="1523" xr:uid="{00000000-0005-0000-0000-000015060000}"/>
    <cellStyle name="Currency 4 12 3" xfId="1524" xr:uid="{00000000-0005-0000-0000-000016060000}"/>
    <cellStyle name="Currency 4 12 4" xfId="1525" xr:uid="{00000000-0005-0000-0000-000017060000}"/>
    <cellStyle name="Currency 4 13" xfId="1526" xr:uid="{00000000-0005-0000-0000-000018060000}"/>
    <cellStyle name="Currency 4 13 2" xfId="1527" xr:uid="{00000000-0005-0000-0000-000019060000}"/>
    <cellStyle name="Currency 4 13 3" xfId="1528" xr:uid="{00000000-0005-0000-0000-00001A060000}"/>
    <cellStyle name="Currency 4 13 4" xfId="1529" xr:uid="{00000000-0005-0000-0000-00001B060000}"/>
    <cellStyle name="Currency 4 14" xfId="1530" xr:uid="{00000000-0005-0000-0000-00001C060000}"/>
    <cellStyle name="Currency 4 14 2" xfId="1531" xr:uid="{00000000-0005-0000-0000-00001D060000}"/>
    <cellStyle name="Currency 4 14 3" xfId="1532" xr:uid="{00000000-0005-0000-0000-00001E060000}"/>
    <cellStyle name="Currency 4 14 4" xfId="1533" xr:uid="{00000000-0005-0000-0000-00001F060000}"/>
    <cellStyle name="Currency 4 15" xfId="1534" xr:uid="{00000000-0005-0000-0000-000020060000}"/>
    <cellStyle name="Currency 4 15 2" xfId="1535" xr:uid="{00000000-0005-0000-0000-000021060000}"/>
    <cellStyle name="Currency 4 15 3" xfId="1536" xr:uid="{00000000-0005-0000-0000-000022060000}"/>
    <cellStyle name="Currency 4 15 4" xfId="1537" xr:uid="{00000000-0005-0000-0000-000023060000}"/>
    <cellStyle name="Currency 4 16" xfId="1538" xr:uid="{00000000-0005-0000-0000-000024060000}"/>
    <cellStyle name="Currency 4 16 2" xfId="1539" xr:uid="{00000000-0005-0000-0000-000025060000}"/>
    <cellStyle name="Currency 4 16 3" xfId="1540" xr:uid="{00000000-0005-0000-0000-000026060000}"/>
    <cellStyle name="Currency 4 16 4" xfId="1541" xr:uid="{00000000-0005-0000-0000-000027060000}"/>
    <cellStyle name="Currency 4 17" xfId="1542" xr:uid="{00000000-0005-0000-0000-000028060000}"/>
    <cellStyle name="Currency 4 17 2" xfId="1543" xr:uid="{00000000-0005-0000-0000-000029060000}"/>
    <cellStyle name="Currency 4 17 3" xfId="1544" xr:uid="{00000000-0005-0000-0000-00002A060000}"/>
    <cellStyle name="Currency 4 17 4" xfId="1545" xr:uid="{00000000-0005-0000-0000-00002B060000}"/>
    <cellStyle name="Currency 4 18" xfId="1546" xr:uid="{00000000-0005-0000-0000-00002C060000}"/>
    <cellStyle name="Currency 4 18 2" xfId="1547" xr:uid="{00000000-0005-0000-0000-00002D060000}"/>
    <cellStyle name="Currency 4 18 3" xfId="1548" xr:uid="{00000000-0005-0000-0000-00002E060000}"/>
    <cellStyle name="Currency 4 18 4" xfId="1549" xr:uid="{00000000-0005-0000-0000-00002F060000}"/>
    <cellStyle name="Currency 4 19" xfId="1550" xr:uid="{00000000-0005-0000-0000-000030060000}"/>
    <cellStyle name="Currency 4 19 2" xfId="1551" xr:uid="{00000000-0005-0000-0000-000031060000}"/>
    <cellStyle name="Currency 4 19 3" xfId="1552" xr:uid="{00000000-0005-0000-0000-000032060000}"/>
    <cellStyle name="Currency 4 19 4" xfId="1553" xr:uid="{00000000-0005-0000-0000-000033060000}"/>
    <cellStyle name="Currency 4 2" xfId="1554" xr:uid="{00000000-0005-0000-0000-000034060000}"/>
    <cellStyle name="Currency 4 2 2" xfId="1555" xr:uid="{00000000-0005-0000-0000-000035060000}"/>
    <cellStyle name="Currency 4 2 3" xfId="1556" xr:uid="{00000000-0005-0000-0000-000036060000}"/>
    <cellStyle name="Currency 4 2 4" xfId="1557" xr:uid="{00000000-0005-0000-0000-000037060000}"/>
    <cellStyle name="Currency 4 20" xfId="1558" xr:uid="{00000000-0005-0000-0000-000038060000}"/>
    <cellStyle name="Currency 4 20 2" xfId="1559" xr:uid="{00000000-0005-0000-0000-000039060000}"/>
    <cellStyle name="Currency 4 20 3" xfId="1560" xr:uid="{00000000-0005-0000-0000-00003A060000}"/>
    <cellStyle name="Currency 4 20 4" xfId="1561" xr:uid="{00000000-0005-0000-0000-00003B060000}"/>
    <cellStyle name="Currency 4 21" xfId="1562" xr:uid="{00000000-0005-0000-0000-00003C060000}"/>
    <cellStyle name="Currency 4 21 2" xfId="1563" xr:uid="{00000000-0005-0000-0000-00003D060000}"/>
    <cellStyle name="Currency 4 21 3" xfId="1564" xr:uid="{00000000-0005-0000-0000-00003E060000}"/>
    <cellStyle name="Currency 4 21 4" xfId="1565" xr:uid="{00000000-0005-0000-0000-00003F060000}"/>
    <cellStyle name="Currency 4 22" xfId="1566" xr:uid="{00000000-0005-0000-0000-000040060000}"/>
    <cellStyle name="Currency 4 23" xfId="1567" xr:uid="{00000000-0005-0000-0000-000041060000}"/>
    <cellStyle name="Currency 4 24" xfId="1568" xr:uid="{00000000-0005-0000-0000-000042060000}"/>
    <cellStyle name="Currency 4 3" xfId="1569" xr:uid="{00000000-0005-0000-0000-000043060000}"/>
    <cellStyle name="Currency 4 3 2" xfId="1570" xr:uid="{00000000-0005-0000-0000-000044060000}"/>
    <cellStyle name="Currency 4 3 3" xfId="1571" xr:uid="{00000000-0005-0000-0000-000045060000}"/>
    <cellStyle name="Currency 4 3 4" xfId="1572" xr:uid="{00000000-0005-0000-0000-000046060000}"/>
    <cellStyle name="Currency 4 4" xfId="1573" xr:uid="{00000000-0005-0000-0000-000047060000}"/>
    <cellStyle name="Currency 4 4 2" xfId="1574" xr:uid="{00000000-0005-0000-0000-000048060000}"/>
    <cellStyle name="Currency 4 4 3" xfId="1575" xr:uid="{00000000-0005-0000-0000-000049060000}"/>
    <cellStyle name="Currency 4 4 4" xfId="1576" xr:uid="{00000000-0005-0000-0000-00004A060000}"/>
    <cellStyle name="Currency 4 5" xfId="1577" xr:uid="{00000000-0005-0000-0000-00004B060000}"/>
    <cellStyle name="Currency 4 5 2" xfId="1578" xr:uid="{00000000-0005-0000-0000-00004C060000}"/>
    <cellStyle name="Currency 4 5 3" xfId="1579" xr:uid="{00000000-0005-0000-0000-00004D060000}"/>
    <cellStyle name="Currency 4 5 4" xfId="1580" xr:uid="{00000000-0005-0000-0000-00004E060000}"/>
    <cellStyle name="Currency 4 6" xfId="1581" xr:uid="{00000000-0005-0000-0000-00004F060000}"/>
    <cellStyle name="Currency 4 6 2" xfId="1582" xr:uid="{00000000-0005-0000-0000-000050060000}"/>
    <cellStyle name="Currency 4 6 3" xfId="1583" xr:uid="{00000000-0005-0000-0000-000051060000}"/>
    <cellStyle name="Currency 4 6 4" xfId="1584" xr:uid="{00000000-0005-0000-0000-000052060000}"/>
    <cellStyle name="Currency 4 7" xfId="1585" xr:uid="{00000000-0005-0000-0000-000053060000}"/>
    <cellStyle name="Currency 4 7 2" xfId="1586" xr:uid="{00000000-0005-0000-0000-000054060000}"/>
    <cellStyle name="Currency 4 7 3" xfId="1587" xr:uid="{00000000-0005-0000-0000-000055060000}"/>
    <cellStyle name="Currency 4 7 4" xfId="1588" xr:uid="{00000000-0005-0000-0000-000056060000}"/>
    <cellStyle name="Currency 4 8" xfId="1589" xr:uid="{00000000-0005-0000-0000-000057060000}"/>
    <cellStyle name="Currency 4 8 2" xfId="1590" xr:uid="{00000000-0005-0000-0000-000058060000}"/>
    <cellStyle name="Currency 4 8 3" xfId="1591" xr:uid="{00000000-0005-0000-0000-000059060000}"/>
    <cellStyle name="Currency 4 8 4" xfId="1592" xr:uid="{00000000-0005-0000-0000-00005A060000}"/>
    <cellStyle name="Currency 4 9" xfId="1593" xr:uid="{00000000-0005-0000-0000-00005B060000}"/>
    <cellStyle name="Currency 4 9 2" xfId="1594" xr:uid="{00000000-0005-0000-0000-00005C060000}"/>
    <cellStyle name="Currency 4 9 3" xfId="1595" xr:uid="{00000000-0005-0000-0000-00005D060000}"/>
    <cellStyle name="Currency 4 9 4" xfId="1596" xr:uid="{00000000-0005-0000-0000-00005E060000}"/>
    <cellStyle name="Currency 5" xfId="1597" xr:uid="{00000000-0005-0000-0000-00005F060000}"/>
    <cellStyle name="Currency 5 10" xfId="1598" xr:uid="{00000000-0005-0000-0000-000060060000}"/>
    <cellStyle name="Currency 5 10 2" xfId="1599" xr:uid="{00000000-0005-0000-0000-000061060000}"/>
    <cellStyle name="Currency 5 10 3" xfId="1600" xr:uid="{00000000-0005-0000-0000-000062060000}"/>
    <cellStyle name="Currency 5 10 4" xfId="1601" xr:uid="{00000000-0005-0000-0000-000063060000}"/>
    <cellStyle name="Currency 5 11" xfId="1602" xr:uid="{00000000-0005-0000-0000-000064060000}"/>
    <cellStyle name="Currency 5 11 2" xfId="1603" xr:uid="{00000000-0005-0000-0000-000065060000}"/>
    <cellStyle name="Currency 5 11 3" xfId="1604" xr:uid="{00000000-0005-0000-0000-000066060000}"/>
    <cellStyle name="Currency 5 11 4" xfId="1605" xr:uid="{00000000-0005-0000-0000-000067060000}"/>
    <cellStyle name="Currency 5 12" xfId="1606" xr:uid="{00000000-0005-0000-0000-000068060000}"/>
    <cellStyle name="Currency 5 12 2" xfId="1607" xr:uid="{00000000-0005-0000-0000-000069060000}"/>
    <cellStyle name="Currency 5 12 3" xfId="1608" xr:uid="{00000000-0005-0000-0000-00006A060000}"/>
    <cellStyle name="Currency 5 12 4" xfId="1609" xr:uid="{00000000-0005-0000-0000-00006B060000}"/>
    <cellStyle name="Currency 5 13" xfId="1610" xr:uid="{00000000-0005-0000-0000-00006C060000}"/>
    <cellStyle name="Currency 5 13 2" xfId="1611" xr:uid="{00000000-0005-0000-0000-00006D060000}"/>
    <cellStyle name="Currency 5 13 3" xfId="1612" xr:uid="{00000000-0005-0000-0000-00006E060000}"/>
    <cellStyle name="Currency 5 13 4" xfId="1613" xr:uid="{00000000-0005-0000-0000-00006F060000}"/>
    <cellStyle name="Currency 5 14" xfId="1614" xr:uid="{00000000-0005-0000-0000-000070060000}"/>
    <cellStyle name="Currency 5 14 2" xfId="1615" xr:uid="{00000000-0005-0000-0000-000071060000}"/>
    <cellStyle name="Currency 5 14 3" xfId="1616" xr:uid="{00000000-0005-0000-0000-000072060000}"/>
    <cellStyle name="Currency 5 14 4" xfId="1617" xr:uid="{00000000-0005-0000-0000-000073060000}"/>
    <cellStyle name="Currency 5 15" xfId="1618" xr:uid="{00000000-0005-0000-0000-000074060000}"/>
    <cellStyle name="Currency 5 15 2" xfId="1619" xr:uid="{00000000-0005-0000-0000-000075060000}"/>
    <cellStyle name="Currency 5 15 3" xfId="1620" xr:uid="{00000000-0005-0000-0000-000076060000}"/>
    <cellStyle name="Currency 5 15 4" xfId="1621" xr:uid="{00000000-0005-0000-0000-000077060000}"/>
    <cellStyle name="Currency 5 16" xfId="1622" xr:uid="{00000000-0005-0000-0000-000078060000}"/>
    <cellStyle name="Currency 5 16 2" xfId="1623" xr:uid="{00000000-0005-0000-0000-000079060000}"/>
    <cellStyle name="Currency 5 16 3" xfId="1624" xr:uid="{00000000-0005-0000-0000-00007A060000}"/>
    <cellStyle name="Currency 5 16 4" xfId="1625" xr:uid="{00000000-0005-0000-0000-00007B060000}"/>
    <cellStyle name="Currency 5 17" xfId="1626" xr:uid="{00000000-0005-0000-0000-00007C060000}"/>
    <cellStyle name="Currency 5 17 2" xfId="1627" xr:uid="{00000000-0005-0000-0000-00007D060000}"/>
    <cellStyle name="Currency 5 17 3" xfId="1628" xr:uid="{00000000-0005-0000-0000-00007E060000}"/>
    <cellStyle name="Currency 5 17 4" xfId="1629" xr:uid="{00000000-0005-0000-0000-00007F060000}"/>
    <cellStyle name="Currency 5 18" xfId="1630" xr:uid="{00000000-0005-0000-0000-000080060000}"/>
    <cellStyle name="Currency 5 18 2" xfId="1631" xr:uid="{00000000-0005-0000-0000-000081060000}"/>
    <cellStyle name="Currency 5 18 3" xfId="1632" xr:uid="{00000000-0005-0000-0000-000082060000}"/>
    <cellStyle name="Currency 5 18 4" xfId="1633" xr:uid="{00000000-0005-0000-0000-000083060000}"/>
    <cellStyle name="Currency 5 19" xfId="1634" xr:uid="{00000000-0005-0000-0000-000084060000}"/>
    <cellStyle name="Currency 5 19 2" xfId="1635" xr:uid="{00000000-0005-0000-0000-000085060000}"/>
    <cellStyle name="Currency 5 19 3" xfId="1636" xr:uid="{00000000-0005-0000-0000-000086060000}"/>
    <cellStyle name="Currency 5 19 4" xfId="1637" xr:uid="{00000000-0005-0000-0000-000087060000}"/>
    <cellStyle name="Currency 5 2" xfId="1638" xr:uid="{00000000-0005-0000-0000-000088060000}"/>
    <cellStyle name="Currency 5 2 2" xfId="1639" xr:uid="{00000000-0005-0000-0000-000089060000}"/>
    <cellStyle name="Currency 5 2 3" xfId="1640" xr:uid="{00000000-0005-0000-0000-00008A060000}"/>
    <cellStyle name="Currency 5 2 4" xfId="1641" xr:uid="{00000000-0005-0000-0000-00008B060000}"/>
    <cellStyle name="Currency 5 20" xfId="1642" xr:uid="{00000000-0005-0000-0000-00008C060000}"/>
    <cellStyle name="Currency 5 20 2" xfId="1643" xr:uid="{00000000-0005-0000-0000-00008D060000}"/>
    <cellStyle name="Currency 5 20 3" xfId="1644" xr:uid="{00000000-0005-0000-0000-00008E060000}"/>
    <cellStyle name="Currency 5 20 4" xfId="1645" xr:uid="{00000000-0005-0000-0000-00008F060000}"/>
    <cellStyle name="Currency 5 21" xfId="1646" xr:uid="{00000000-0005-0000-0000-000090060000}"/>
    <cellStyle name="Currency 5 21 2" xfId="1647" xr:uid="{00000000-0005-0000-0000-000091060000}"/>
    <cellStyle name="Currency 5 21 3" xfId="1648" xr:uid="{00000000-0005-0000-0000-000092060000}"/>
    <cellStyle name="Currency 5 21 4" xfId="1649" xr:uid="{00000000-0005-0000-0000-000093060000}"/>
    <cellStyle name="Currency 5 22" xfId="1650" xr:uid="{00000000-0005-0000-0000-000094060000}"/>
    <cellStyle name="Currency 5 23" xfId="1651" xr:uid="{00000000-0005-0000-0000-000095060000}"/>
    <cellStyle name="Currency 5 24" xfId="1652" xr:uid="{00000000-0005-0000-0000-000096060000}"/>
    <cellStyle name="Currency 5 3" xfId="1653" xr:uid="{00000000-0005-0000-0000-000097060000}"/>
    <cellStyle name="Currency 5 3 2" xfId="1654" xr:uid="{00000000-0005-0000-0000-000098060000}"/>
    <cellStyle name="Currency 5 3 3" xfId="1655" xr:uid="{00000000-0005-0000-0000-000099060000}"/>
    <cellStyle name="Currency 5 3 4" xfId="1656" xr:uid="{00000000-0005-0000-0000-00009A060000}"/>
    <cellStyle name="Currency 5 4" xfId="1657" xr:uid="{00000000-0005-0000-0000-00009B060000}"/>
    <cellStyle name="Currency 5 4 2" xfId="1658" xr:uid="{00000000-0005-0000-0000-00009C060000}"/>
    <cellStyle name="Currency 5 4 3" xfId="1659" xr:uid="{00000000-0005-0000-0000-00009D060000}"/>
    <cellStyle name="Currency 5 4 4" xfId="1660" xr:uid="{00000000-0005-0000-0000-00009E060000}"/>
    <cellStyle name="Currency 5 5" xfId="1661" xr:uid="{00000000-0005-0000-0000-00009F060000}"/>
    <cellStyle name="Currency 5 5 2" xfId="1662" xr:uid="{00000000-0005-0000-0000-0000A0060000}"/>
    <cellStyle name="Currency 5 5 3" xfId="1663" xr:uid="{00000000-0005-0000-0000-0000A1060000}"/>
    <cellStyle name="Currency 5 5 4" xfId="1664" xr:uid="{00000000-0005-0000-0000-0000A2060000}"/>
    <cellStyle name="Currency 5 6" xfId="1665" xr:uid="{00000000-0005-0000-0000-0000A3060000}"/>
    <cellStyle name="Currency 5 6 2" xfId="1666" xr:uid="{00000000-0005-0000-0000-0000A4060000}"/>
    <cellStyle name="Currency 5 6 3" xfId="1667" xr:uid="{00000000-0005-0000-0000-0000A5060000}"/>
    <cellStyle name="Currency 5 6 4" xfId="1668" xr:uid="{00000000-0005-0000-0000-0000A6060000}"/>
    <cellStyle name="Currency 5 7" xfId="1669" xr:uid="{00000000-0005-0000-0000-0000A7060000}"/>
    <cellStyle name="Currency 5 7 2" xfId="1670" xr:uid="{00000000-0005-0000-0000-0000A8060000}"/>
    <cellStyle name="Currency 5 7 3" xfId="1671" xr:uid="{00000000-0005-0000-0000-0000A9060000}"/>
    <cellStyle name="Currency 5 7 4" xfId="1672" xr:uid="{00000000-0005-0000-0000-0000AA060000}"/>
    <cellStyle name="Currency 5 8" xfId="1673" xr:uid="{00000000-0005-0000-0000-0000AB060000}"/>
    <cellStyle name="Currency 5 8 2" xfId="1674" xr:uid="{00000000-0005-0000-0000-0000AC060000}"/>
    <cellStyle name="Currency 5 8 3" xfId="1675" xr:uid="{00000000-0005-0000-0000-0000AD060000}"/>
    <cellStyle name="Currency 5 8 4" xfId="1676" xr:uid="{00000000-0005-0000-0000-0000AE060000}"/>
    <cellStyle name="Currency 5 9" xfId="1677" xr:uid="{00000000-0005-0000-0000-0000AF060000}"/>
    <cellStyle name="Currency 5 9 2" xfId="1678" xr:uid="{00000000-0005-0000-0000-0000B0060000}"/>
    <cellStyle name="Currency 5 9 3" xfId="1679" xr:uid="{00000000-0005-0000-0000-0000B1060000}"/>
    <cellStyle name="Currency 5 9 4" xfId="1680" xr:uid="{00000000-0005-0000-0000-0000B2060000}"/>
    <cellStyle name="Currency 6" xfId="1681" xr:uid="{00000000-0005-0000-0000-0000B3060000}"/>
    <cellStyle name="Currency 6 10" xfId="1682" xr:uid="{00000000-0005-0000-0000-0000B4060000}"/>
    <cellStyle name="Currency 6 10 2" xfId="1683" xr:uid="{00000000-0005-0000-0000-0000B5060000}"/>
    <cellStyle name="Currency 6 10 3" xfId="1684" xr:uid="{00000000-0005-0000-0000-0000B6060000}"/>
    <cellStyle name="Currency 6 10 4" xfId="1685" xr:uid="{00000000-0005-0000-0000-0000B7060000}"/>
    <cellStyle name="Currency 6 11" xfId="1686" xr:uid="{00000000-0005-0000-0000-0000B8060000}"/>
    <cellStyle name="Currency 6 11 2" xfId="1687" xr:uid="{00000000-0005-0000-0000-0000B9060000}"/>
    <cellStyle name="Currency 6 11 3" xfId="1688" xr:uid="{00000000-0005-0000-0000-0000BA060000}"/>
    <cellStyle name="Currency 6 11 4" xfId="1689" xr:uid="{00000000-0005-0000-0000-0000BB060000}"/>
    <cellStyle name="Currency 6 12" xfId="1690" xr:uid="{00000000-0005-0000-0000-0000BC060000}"/>
    <cellStyle name="Currency 6 12 2" xfId="1691" xr:uid="{00000000-0005-0000-0000-0000BD060000}"/>
    <cellStyle name="Currency 6 12 3" xfId="1692" xr:uid="{00000000-0005-0000-0000-0000BE060000}"/>
    <cellStyle name="Currency 6 12 4" xfId="1693" xr:uid="{00000000-0005-0000-0000-0000BF060000}"/>
    <cellStyle name="Currency 6 13" xfId="1694" xr:uid="{00000000-0005-0000-0000-0000C0060000}"/>
    <cellStyle name="Currency 6 13 2" xfId="1695" xr:uid="{00000000-0005-0000-0000-0000C1060000}"/>
    <cellStyle name="Currency 6 13 3" xfId="1696" xr:uid="{00000000-0005-0000-0000-0000C2060000}"/>
    <cellStyle name="Currency 6 13 4" xfId="1697" xr:uid="{00000000-0005-0000-0000-0000C3060000}"/>
    <cellStyle name="Currency 6 14" xfId="1698" xr:uid="{00000000-0005-0000-0000-0000C4060000}"/>
    <cellStyle name="Currency 6 14 2" xfId="1699" xr:uid="{00000000-0005-0000-0000-0000C5060000}"/>
    <cellStyle name="Currency 6 14 3" xfId="1700" xr:uid="{00000000-0005-0000-0000-0000C6060000}"/>
    <cellStyle name="Currency 6 14 4" xfId="1701" xr:uid="{00000000-0005-0000-0000-0000C7060000}"/>
    <cellStyle name="Currency 6 15" xfId="1702" xr:uid="{00000000-0005-0000-0000-0000C8060000}"/>
    <cellStyle name="Currency 6 15 2" xfId="1703" xr:uid="{00000000-0005-0000-0000-0000C9060000}"/>
    <cellStyle name="Currency 6 15 3" xfId="1704" xr:uid="{00000000-0005-0000-0000-0000CA060000}"/>
    <cellStyle name="Currency 6 15 4" xfId="1705" xr:uid="{00000000-0005-0000-0000-0000CB060000}"/>
    <cellStyle name="Currency 6 16" xfId="1706" xr:uid="{00000000-0005-0000-0000-0000CC060000}"/>
    <cellStyle name="Currency 6 16 2" xfId="1707" xr:uid="{00000000-0005-0000-0000-0000CD060000}"/>
    <cellStyle name="Currency 6 16 3" xfId="1708" xr:uid="{00000000-0005-0000-0000-0000CE060000}"/>
    <cellStyle name="Currency 6 16 4" xfId="1709" xr:uid="{00000000-0005-0000-0000-0000CF060000}"/>
    <cellStyle name="Currency 6 17" xfId="1710" xr:uid="{00000000-0005-0000-0000-0000D0060000}"/>
    <cellStyle name="Currency 6 17 2" xfId="1711" xr:uid="{00000000-0005-0000-0000-0000D1060000}"/>
    <cellStyle name="Currency 6 17 3" xfId="1712" xr:uid="{00000000-0005-0000-0000-0000D2060000}"/>
    <cellStyle name="Currency 6 17 4" xfId="1713" xr:uid="{00000000-0005-0000-0000-0000D3060000}"/>
    <cellStyle name="Currency 6 18" xfId="1714" xr:uid="{00000000-0005-0000-0000-0000D4060000}"/>
    <cellStyle name="Currency 6 18 2" xfId="1715" xr:uid="{00000000-0005-0000-0000-0000D5060000}"/>
    <cellStyle name="Currency 6 18 3" xfId="1716" xr:uid="{00000000-0005-0000-0000-0000D6060000}"/>
    <cellStyle name="Currency 6 18 4" xfId="1717" xr:uid="{00000000-0005-0000-0000-0000D7060000}"/>
    <cellStyle name="Currency 6 19" xfId="1718" xr:uid="{00000000-0005-0000-0000-0000D8060000}"/>
    <cellStyle name="Currency 6 19 2" xfId="1719" xr:uid="{00000000-0005-0000-0000-0000D9060000}"/>
    <cellStyle name="Currency 6 19 3" xfId="1720" xr:uid="{00000000-0005-0000-0000-0000DA060000}"/>
    <cellStyle name="Currency 6 19 4" xfId="1721" xr:uid="{00000000-0005-0000-0000-0000DB060000}"/>
    <cellStyle name="Currency 6 2" xfId="1722" xr:uid="{00000000-0005-0000-0000-0000DC060000}"/>
    <cellStyle name="Currency 6 2 2" xfId="1723" xr:uid="{00000000-0005-0000-0000-0000DD060000}"/>
    <cellStyle name="Currency 6 2 3" xfId="1724" xr:uid="{00000000-0005-0000-0000-0000DE060000}"/>
    <cellStyle name="Currency 6 2 4" xfId="1725" xr:uid="{00000000-0005-0000-0000-0000DF060000}"/>
    <cellStyle name="Currency 6 20" xfId="1726" xr:uid="{00000000-0005-0000-0000-0000E0060000}"/>
    <cellStyle name="Currency 6 20 2" xfId="1727" xr:uid="{00000000-0005-0000-0000-0000E1060000}"/>
    <cellStyle name="Currency 6 20 3" xfId="1728" xr:uid="{00000000-0005-0000-0000-0000E2060000}"/>
    <cellStyle name="Currency 6 20 4" xfId="1729" xr:uid="{00000000-0005-0000-0000-0000E3060000}"/>
    <cellStyle name="Currency 6 21" xfId="1730" xr:uid="{00000000-0005-0000-0000-0000E4060000}"/>
    <cellStyle name="Currency 6 21 2" xfId="1731" xr:uid="{00000000-0005-0000-0000-0000E5060000}"/>
    <cellStyle name="Currency 6 21 3" xfId="1732" xr:uid="{00000000-0005-0000-0000-0000E6060000}"/>
    <cellStyle name="Currency 6 21 4" xfId="1733" xr:uid="{00000000-0005-0000-0000-0000E7060000}"/>
    <cellStyle name="Currency 6 22" xfId="1734" xr:uid="{00000000-0005-0000-0000-0000E8060000}"/>
    <cellStyle name="Currency 6 23" xfId="1735" xr:uid="{00000000-0005-0000-0000-0000E9060000}"/>
    <cellStyle name="Currency 6 24" xfId="1736" xr:uid="{00000000-0005-0000-0000-0000EA060000}"/>
    <cellStyle name="Currency 6 3" xfId="1737" xr:uid="{00000000-0005-0000-0000-0000EB060000}"/>
    <cellStyle name="Currency 6 3 2" xfId="1738" xr:uid="{00000000-0005-0000-0000-0000EC060000}"/>
    <cellStyle name="Currency 6 3 3" xfId="1739" xr:uid="{00000000-0005-0000-0000-0000ED060000}"/>
    <cellStyle name="Currency 6 3 4" xfId="1740" xr:uid="{00000000-0005-0000-0000-0000EE060000}"/>
    <cellStyle name="Currency 6 4" xfId="1741" xr:uid="{00000000-0005-0000-0000-0000EF060000}"/>
    <cellStyle name="Currency 6 4 2" xfId="1742" xr:uid="{00000000-0005-0000-0000-0000F0060000}"/>
    <cellStyle name="Currency 6 4 3" xfId="1743" xr:uid="{00000000-0005-0000-0000-0000F1060000}"/>
    <cellStyle name="Currency 6 4 4" xfId="1744" xr:uid="{00000000-0005-0000-0000-0000F2060000}"/>
    <cellStyle name="Currency 6 5" xfId="1745" xr:uid="{00000000-0005-0000-0000-0000F3060000}"/>
    <cellStyle name="Currency 6 5 2" xfId="1746" xr:uid="{00000000-0005-0000-0000-0000F4060000}"/>
    <cellStyle name="Currency 6 5 3" xfId="1747" xr:uid="{00000000-0005-0000-0000-0000F5060000}"/>
    <cellStyle name="Currency 6 5 4" xfId="1748" xr:uid="{00000000-0005-0000-0000-0000F6060000}"/>
    <cellStyle name="Currency 6 6" xfId="1749" xr:uid="{00000000-0005-0000-0000-0000F7060000}"/>
    <cellStyle name="Currency 6 6 2" xfId="1750" xr:uid="{00000000-0005-0000-0000-0000F8060000}"/>
    <cellStyle name="Currency 6 6 3" xfId="1751" xr:uid="{00000000-0005-0000-0000-0000F9060000}"/>
    <cellStyle name="Currency 6 6 4" xfId="1752" xr:uid="{00000000-0005-0000-0000-0000FA060000}"/>
    <cellStyle name="Currency 6 7" xfId="1753" xr:uid="{00000000-0005-0000-0000-0000FB060000}"/>
    <cellStyle name="Currency 6 7 2" xfId="1754" xr:uid="{00000000-0005-0000-0000-0000FC060000}"/>
    <cellStyle name="Currency 6 7 3" xfId="1755" xr:uid="{00000000-0005-0000-0000-0000FD060000}"/>
    <cellStyle name="Currency 6 7 4" xfId="1756" xr:uid="{00000000-0005-0000-0000-0000FE060000}"/>
    <cellStyle name="Currency 6 8" xfId="1757" xr:uid="{00000000-0005-0000-0000-0000FF060000}"/>
    <cellStyle name="Currency 6 8 2" xfId="1758" xr:uid="{00000000-0005-0000-0000-000000070000}"/>
    <cellStyle name="Currency 6 8 3" xfId="1759" xr:uid="{00000000-0005-0000-0000-000001070000}"/>
    <cellStyle name="Currency 6 8 4" xfId="1760" xr:uid="{00000000-0005-0000-0000-000002070000}"/>
    <cellStyle name="Currency 6 9" xfId="1761" xr:uid="{00000000-0005-0000-0000-000003070000}"/>
    <cellStyle name="Currency 6 9 2" xfId="1762" xr:uid="{00000000-0005-0000-0000-000004070000}"/>
    <cellStyle name="Currency 6 9 3" xfId="1763" xr:uid="{00000000-0005-0000-0000-000005070000}"/>
    <cellStyle name="Currency 6 9 4" xfId="1764" xr:uid="{00000000-0005-0000-0000-000006070000}"/>
    <cellStyle name="Currency 7" xfId="1765" xr:uid="{00000000-0005-0000-0000-000007070000}"/>
    <cellStyle name="Currency 7 10" xfId="1766" xr:uid="{00000000-0005-0000-0000-000008070000}"/>
    <cellStyle name="Currency 7 10 2" xfId="1767" xr:uid="{00000000-0005-0000-0000-000009070000}"/>
    <cellStyle name="Currency 7 10 3" xfId="1768" xr:uid="{00000000-0005-0000-0000-00000A070000}"/>
    <cellStyle name="Currency 7 10 4" xfId="1769" xr:uid="{00000000-0005-0000-0000-00000B070000}"/>
    <cellStyle name="Currency 7 11" xfId="1770" xr:uid="{00000000-0005-0000-0000-00000C070000}"/>
    <cellStyle name="Currency 7 11 2" xfId="1771" xr:uid="{00000000-0005-0000-0000-00000D070000}"/>
    <cellStyle name="Currency 7 11 3" xfId="1772" xr:uid="{00000000-0005-0000-0000-00000E070000}"/>
    <cellStyle name="Currency 7 11 4" xfId="1773" xr:uid="{00000000-0005-0000-0000-00000F070000}"/>
    <cellStyle name="Currency 7 12" xfId="1774" xr:uid="{00000000-0005-0000-0000-000010070000}"/>
    <cellStyle name="Currency 7 12 2" xfId="1775" xr:uid="{00000000-0005-0000-0000-000011070000}"/>
    <cellStyle name="Currency 7 12 3" xfId="1776" xr:uid="{00000000-0005-0000-0000-000012070000}"/>
    <cellStyle name="Currency 7 12 4" xfId="1777" xr:uid="{00000000-0005-0000-0000-000013070000}"/>
    <cellStyle name="Currency 7 13" xfId="1778" xr:uid="{00000000-0005-0000-0000-000014070000}"/>
    <cellStyle name="Currency 7 13 2" xfId="1779" xr:uid="{00000000-0005-0000-0000-000015070000}"/>
    <cellStyle name="Currency 7 13 3" xfId="1780" xr:uid="{00000000-0005-0000-0000-000016070000}"/>
    <cellStyle name="Currency 7 13 4" xfId="1781" xr:uid="{00000000-0005-0000-0000-000017070000}"/>
    <cellStyle name="Currency 7 14" xfId="1782" xr:uid="{00000000-0005-0000-0000-000018070000}"/>
    <cellStyle name="Currency 7 14 2" xfId="1783" xr:uid="{00000000-0005-0000-0000-000019070000}"/>
    <cellStyle name="Currency 7 14 3" xfId="1784" xr:uid="{00000000-0005-0000-0000-00001A070000}"/>
    <cellStyle name="Currency 7 14 4" xfId="1785" xr:uid="{00000000-0005-0000-0000-00001B070000}"/>
    <cellStyle name="Currency 7 15" xfId="1786" xr:uid="{00000000-0005-0000-0000-00001C070000}"/>
    <cellStyle name="Currency 7 15 2" xfId="1787" xr:uid="{00000000-0005-0000-0000-00001D070000}"/>
    <cellStyle name="Currency 7 15 3" xfId="1788" xr:uid="{00000000-0005-0000-0000-00001E070000}"/>
    <cellStyle name="Currency 7 15 4" xfId="1789" xr:uid="{00000000-0005-0000-0000-00001F070000}"/>
    <cellStyle name="Currency 7 16" xfId="1790" xr:uid="{00000000-0005-0000-0000-000020070000}"/>
    <cellStyle name="Currency 7 16 2" xfId="1791" xr:uid="{00000000-0005-0000-0000-000021070000}"/>
    <cellStyle name="Currency 7 16 3" xfId="1792" xr:uid="{00000000-0005-0000-0000-000022070000}"/>
    <cellStyle name="Currency 7 16 4" xfId="1793" xr:uid="{00000000-0005-0000-0000-000023070000}"/>
    <cellStyle name="Currency 7 17" xfId="1794" xr:uid="{00000000-0005-0000-0000-000024070000}"/>
    <cellStyle name="Currency 7 17 2" xfId="1795" xr:uid="{00000000-0005-0000-0000-000025070000}"/>
    <cellStyle name="Currency 7 17 3" xfId="1796" xr:uid="{00000000-0005-0000-0000-000026070000}"/>
    <cellStyle name="Currency 7 17 4" xfId="1797" xr:uid="{00000000-0005-0000-0000-000027070000}"/>
    <cellStyle name="Currency 7 18" xfId="1798" xr:uid="{00000000-0005-0000-0000-000028070000}"/>
    <cellStyle name="Currency 7 18 2" xfId="1799" xr:uid="{00000000-0005-0000-0000-000029070000}"/>
    <cellStyle name="Currency 7 18 3" xfId="1800" xr:uid="{00000000-0005-0000-0000-00002A070000}"/>
    <cellStyle name="Currency 7 18 4" xfId="1801" xr:uid="{00000000-0005-0000-0000-00002B070000}"/>
    <cellStyle name="Currency 7 19" xfId="1802" xr:uid="{00000000-0005-0000-0000-00002C070000}"/>
    <cellStyle name="Currency 7 19 2" xfId="1803" xr:uid="{00000000-0005-0000-0000-00002D070000}"/>
    <cellStyle name="Currency 7 19 3" xfId="1804" xr:uid="{00000000-0005-0000-0000-00002E070000}"/>
    <cellStyle name="Currency 7 19 4" xfId="1805" xr:uid="{00000000-0005-0000-0000-00002F070000}"/>
    <cellStyle name="Currency 7 2" xfId="1806" xr:uid="{00000000-0005-0000-0000-000030070000}"/>
    <cellStyle name="Currency 7 2 2" xfId="1807" xr:uid="{00000000-0005-0000-0000-000031070000}"/>
    <cellStyle name="Currency 7 2 3" xfId="1808" xr:uid="{00000000-0005-0000-0000-000032070000}"/>
    <cellStyle name="Currency 7 2 4" xfId="1809" xr:uid="{00000000-0005-0000-0000-000033070000}"/>
    <cellStyle name="Currency 7 20" xfId="1810" xr:uid="{00000000-0005-0000-0000-000034070000}"/>
    <cellStyle name="Currency 7 20 2" xfId="1811" xr:uid="{00000000-0005-0000-0000-000035070000}"/>
    <cellStyle name="Currency 7 20 3" xfId="1812" xr:uid="{00000000-0005-0000-0000-000036070000}"/>
    <cellStyle name="Currency 7 20 4" xfId="1813" xr:uid="{00000000-0005-0000-0000-000037070000}"/>
    <cellStyle name="Currency 7 21" xfId="1814" xr:uid="{00000000-0005-0000-0000-000038070000}"/>
    <cellStyle name="Currency 7 21 2" xfId="1815" xr:uid="{00000000-0005-0000-0000-000039070000}"/>
    <cellStyle name="Currency 7 21 3" xfId="1816" xr:uid="{00000000-0005-0000-0000-00003A070000}"/>
    <cellStyle name="Currency 7 21 4" xfId="1817" xr:uid="{00000000-0005-0000-0000-00003B070000}"/>
    <cellStyle name="Currency 7 22" xfId="1818" xr:uid="{00000000-0005-0000-0000-00003C070000}"/>
    <cellStyle name="Currency 7 23" xfId="1819" xr:uid="{00000000-0005-0000-0000-00003D070000}"/>
    <cellStyle name="Currency 7 24" xfId="1820" xr:uid="{00000000-0005-0000-0000-00003E070000}"/>
    <cellStyle name="Currency 7 3" xfId="1821" xr:uid="{00000000-0005-0000-0000-00003F070000}"/>
    <cellStyle name="Currency 7 3 2" xfId="1822" xr:uid="{00000000-0005-0000-0000-000040070000}"/>
    <cellStyle name="Currency 7 3 3" xfId="1823" xr:uid="{00000000-0005-0000-0000-000041070000}"/>
    <cellStyle name="Currency 7 3 4" xfId="1824" xr:uid="{00000000-0005-0000-0000-000042070000}"/>
    <cellStyle name="Currency 7 4" xfId="1825" xr:uid="{00000000-0005-0000-0000-000043070000}"/>
    <cellStyle name="Currency 7 4 2" xfId="1826" xr:uid="{00000000-0005-0000-0000-000044070000}"/>
    <cellStyle name="Currency 7 4 3" xfId="1827" xr:uid="{00000000-0005-0000-0000-000045070000}"/>
    <cellStyle name="Currency 7 4 4" xfId="1828" xr:uid="{00000000-0005-0000-0000-000046070000}"/>
    <cellStyle name="Currency 7 5" xfId="1829" xr:uid="{00000000-0005-0000-0000-000047070000}"/>
    <cellStyle name="Currency 7 5 2" xfId="1830" xr:uid="{00000000-0005-0000-0000-000048070000}"/>
    <cellStyle name="Currency 7 5 3" xfId="1831" xr:uid="{00000000-0005-0000-0000-000049070000}"/>
    <cellStyle name="Currency 7 5 4" xfId="1832" xr:uid="{00000000-0005-0000-0000-00004A070000}"/>
    <cellStyle name="Currency 7 6" xfId="1833" xr:uid="{00000000-0005-0000-0000-00004B070000}"/>
    <cellStyle name="Currency 7 6 2" xfId="1834" xr:uid="{00000000-0005-0000-0000-00004C070000}"/>
    <cellStyle name="Currency 7 6 3" xfId="1835" xr:uid="{00000000-0005-0000-0000-00004D070000}"/>
    <cellStyle name="Currency 7 6 4" xfId="1836" xr:uid="{00000000-0005-0000-0000-00004E070000}"/>
    <cellStyle name="Currency 7 7" xfId="1837" xr:uid="{00000000-0005-0000-0000-00004F070000}"/>
    <cellStyle name="Currency 7 7 2" xfId="1838" xr:uid="{00000000-0005-0000-0000-000050070000}"/>
    <cellStyle name="Currency 7 7 3" xfId="1839" xr:uid="{00000000-0005-0000-0000-000051070000}"/>
    <cellStyle name="Currency 7 7 4" xfId="1840" xr:uid="{00000000-0005-0000-0000-000052070000}"/>
    <cellStyle name="Currency 7 8" xfId="1841" xr:uid="{00000000-0005-0000-0000-000053070000}"/>
    <cellStyle name="Currency 7 8 2" xfId="1842" xr:uid="{00000000-0005-0000-0000-000054070000}"/>
    <cellStyle name="Currency 7 8 3" xfId="1843" xr:uid="{00000000-0005-0000-0000-000055070000}"/>
    <cellStyle name="Currency 7 8 4" xfId="1844" xr:uid="{00000000-0005-0000-0000-000056070000}"/>
    <cellStyle name="Currency 7 9" xfId="1845" xr:uid="{00000000-0005-0000-0000-000057070000}"/>
    <cellStyle name="Currency 7 9 2" xfId="1846" xr:uid="{00000000-0005-0000-0000-000058070000}"/>
    <cellStyle name="Currency 7 9 3" xfId="1847" xr:uid="{00000000-0005-0000-0000-000059070000}"/>
    <cellStyle name="Currency 7 9 4" xfId="1848" xr:uid="{00000000-0005-0000-0000-00005A070000}"/>
    <cellStyle name="Currency 8" xfId="1849" xr:uid="{00000000-0005-0000-0000-00005B070000}"/>
    <cellStyle name="Currency 8 10" xfId="1850" xr:uid="{00000000-0005-0000-0000-00005C070000}"/>
    <cellStyle name="Currency 8 10 2" xfId="1851" xr:uid="{00000000-0005-0000-0000-00005D070000}"/>
    <cellStyle name="Currency 8 10 3" xfId="1852" xr:uid="{00000000-0005-0000-0000-00005E070000}"/>
    <cellStyle name="Currency 8 10 4" xfId="1853" xr:uid="{00000000-0005-0000-0000-00005F070000}"/>
    <cellStyle name="Currency 8 11" xfId="1854" xr:uid="{00000000-0005-0000-0000-000060070000}"/>
    <cellStyle name="Currency 8 11 2" xfId="1855" xr:uid="{00000000-0005-0000-0000-000061070000}"/>
    <cellStyle name="Currency 8 11 3" xfId="1856" xr:uid="{00000000-0005-0000-0000-000062070000}"/>
    <cellStyle name="Currency 8 11 4" xfId="1857" xr:uid="{00000000-0005-0000-0000-000063070000}"/>
    <cellStyle name="Currency 8 12" xfId="1858" xr:uid="{00000000-0005-0000-0000-000064070000}"/>
    <cellStyle name="Currency 8 12 2" xfId="1859" xr:uid="{00000000-0005-0000-0000-000065070000}"/>
    <cellStyle name="Currency 8 12 3" xfId="1860" xr:uid="{00000000-0005-0000-0000-000066070000}"/>
    <cellStyle name="Currency 8 12 4" xfId="1861" xr:uid="{00000000-0005-0000-0000-000067070000}"/>
    <cellStyle name="Currency 8 13" xfId="1862" xr:uid="{00000000-0005-0000-0000-000068070000}"/>
    <cellStyle name="Currency 8 13 2" xfId="1863" xr:uid="{00000000-0005-0000-0000-000069070000}"/>
    <cellStyle name="Currency 8 13 3" xfId="1864" xr:uid="{00000000-0005-0000-0000-00006A070000}"/>
    <cellStyle name="Currency 8 13 4" xfId="1865" xr:uid="{00000000-0005-0000-0000-00006B070000}"/>
    <cellStyle name="Currency 8 14" xfId="1866" xr:uid="{00000000-0005-0000-0000-00006C070000}"/>
    <cellStyle name="Currency 8 14 2" xfId="1867" xr:uid="{00000000-0005-0000-0000-00006D070000}"/>
    <cellStyle name="Currency 8 14 3" xfId="1868" xr:uid="{00000000-0005-0000-0000-00006E070000}"/>
    <cellStyle name="Currency 8 14 4" xfId="1869" xr:uid="{00000000-0005-0000-0000-00006F070000}"/>
    <cellStyle name="Currency 8 15" xfId="1870" xr:uid="{00000000-0005-0000-0000-000070070000}"/>
    <cellStyle name="Currency 8 15 2" xfId="1871" xr:uid="{00000000-0005-0000-0000-000071070000}"/>
    <cellStyle name="Currency 8 15 3" xfId="1872" xr:uid="{00000000-0005-0000-0000-000072070000}"/>
    <cellStyle name="Currency 8 15 4" xfId="1873" xr:uid="{00000000-0005-0000-0000-000073070000}"/>
    <cellStyle name="Currency 8 16" xfId="1874" xr:uid="{00000000-0005-0000-0000-000074070000}"/>
    <cellStyle name="Currency 8 16 2" xfId="1875" xr:uid="{00000000-0005-0000-0000-000075070000}"/>
    <cellStyle name="Currency 8 16 3" xfId="1876" xr:uid="{00000000-0005-0000-0000-000076070000}"/>
    <cellStyle name="Currency 8 16 4" xfId="1877" xr:uid="{00000000-0005-0000-0000-000077070000}"/>
    <cellStyle name="Currency 8 17" xfId="1878" xr:uid="{00000000-0005-0000-0000-000078070000}"/>
    <cellStyle name="Currency 8 17 2" xfId="1879" xr:uid="{00000000-0005-0000-0000-000079070000}"/>
    <cellStyle name="Currency 8 17 3" xfId="1880" xr:uid="{00000000-0005-0000-0000-00007A070000}"/>
    <cellStyle name="Currency 8 17 4" xfId="1881" xr:uid="{00000000-0005-0000-0000-00007B070000}"/>
    <cellStyle name="Currency 8 18" xfId="1882" xr:uid="{00000000-0005-0000-0000-00007C070000}"/>
    <cellStyle name="Currency 8 18 2" xfId="1883" xr:uid="{00000000-0005-0000-0000-00007D070000}"/>
    <cellStyle name="Currency 8 18 3" xfId="1884" xr:uid="{00000000-0005-0000-0000-00007E070000}"/>
    <cellStyle name="Currency 8 18 4" xfId="1885" xr:uid="{00000000-0005-0000-0000-00007F070000}"/>
    <cellStyle name="Currency 8 19" xfId="1886" xr:uid="{00000000-0005-0000-0000-000080070000}"/>
    <cellStyle name="Currency 8 19 2" xfId="1887" xr:uid="{00000000-0005-0000-0000-000081070000}"/>
    <cellStyle name="Currency 8 19 3" xfId="1888" xr:uid="{00000000-0005-0000-0000-000082070000}"/>
    <cellStyle name="Currency 8 19 4" xfId="1889" xr:uid="{00000000-0005-0000-0000-000083070000}"/>
    <cellStyle name="Currency 8 2" xfId="1890" xr:uid="{00000000-0005-0000-0000-000084070000}"/>
    <cellStyle name="Currency 8 2 2" xfId="1891" xr:uid="{00000000-0005-0000-0000-000085070000}"/>
    <cellStyle name="Currency 8 2 3" xfId="1892" xr:uid="{00000000-0005-0000-0000-000086070000}"/>
    <cellStyle name="Currency 8 2 4" xfId="1893" xr:uid="{00000000-0005-0000-0000-000087070000}"/>
    <cellStyle name="Currency 8 20" xfId="1894" xr:uid="{00000000-0005-0000-0000-000088070000}"/>
    <cellStyle name="Currency 8 20 2" xfId="1895" xr:uid="{00000000-0005-0000-0000-000089070000}"/>
    <cellStyle name="Currency 8 20 3" xfId="1896" xr:uid="{00000000-0005-0000-0000-00008A070000}"/>
    <cellStyle name="Currency 8 20 4" xfId="1897" xr:uid="{00000000-0005-0000-0000-00008B070000}"/>
    <cellStyle name="Currency 8 21" xfId="1898" xr:uid="{00000000-0005-0000-0000-00008C070000}"/>
    <cellStyle name="Currency 8 21 2" xfId="1899" xr:uid="{00000000-0005-0000-0000-00008D070000}"/>
    <cellStyle name="Currency 8 21 3" xfId="1900" xr:uid="{00000000-0005-0000-0000-00008E070000}"/>
    <cellStyle name="Currency 8 22" xfId="1901" xr:uid="{00000000-0005-0000-0000-00008F070000}"/>
    <cellStyle name="Currency 8 23" xfId="1902" xr:uid="{00000000-0005-0000-0000-000090070000}"/>
    <cellStyle name="Currency 8 24" xfId="1903" xr:uid="{00000000-0005-0000-0000-000091070000}"/>
    <cellStyle name="Currency 8 3" xfId="1904" xr:uid="{00000000-0005-0000-0000-000092070000}"/>
    <cellStyle name="Currency 8 3 2" xfId="1905" xr:uid="{00000000-0005-0000-0000-000093070000}"/>
    <cellStyle name="Currency 8 3 3" xfId="1906" xr:uid="{00000000-0005-0000-0000-000094070000}"/>
    <cellStyle name="Currency 8 3 4" xfId="1907" xr:uid="{00000000-0005-0000-0000-000095070000}"/>
    <cellStyle name="Currency 8 4" xfId="1908" xr:uid="{00000000-0005-0000-0000-000096070000}"/>
    <cellStyle name="Currency 8 4 2" xfId="1909" xr:uid="{00000000-0005-0000-0000-000097070000}"/>
    <cellStyle name="Currency 8 4 3" xfId="1910" xr:uid="{00000000-0005-0000-0000-000098070000}"/>
    <cellStyle name="Currency 8 4 4" xfId="1911" xr:uid="{00000000-0005-0000-0000-000099070000}"/>
    <cellStyle name="Currency 8 5" xfId="1912" xr:uid="{00000000-0005-0000-0000-00009A070000}"/>
    <cellStyle name="Currency 8 5 2" xfId="1913" xr:uid="{00000000-0005-0000-0000-00009B070000}"/>
    <cellStyle name="Currency 8 5 3" xfId="1914" xr:uid="{00000000-0005-0000-0000-00009C070000}"/>
    <cellStyle name="Currency 8 5 4" xfId="1915" xr:uid="{00000000-0005-0000-0000-00009D070000}"/>
    <cellStyle name="Currency 8 6" xfId="1916" xr:uid="{00000000-0005-0000-0000-00009E070000}"/>
    <cellStyle name="Currency 8 6 2" xfId="1917" xr:uid="{00000000-0005-0000-0000-00009F070000}"/>
    <cellStyle name="Currency 8 6 3" xfId="1918" xr:uid="{00000000-0005-0000-0000-0000A0070000}"/>
    <cellStyle name="Currency 8 6 4" xfId="1919" xr:uid="{00000000-0005-0000-0000-0000A1070000}"/>
    <cellStyle name="Currency 8 7" xfId="1920" xr:uid="{00000000-0005-0000-0000-0000A2070000}"/>
    <cellStyle name="Currency 8 7 2" xfId="1921" xr:uid="{00000000-0005-0000-0000-0000A3070000}"/>
    <cellStyle name="Currency 8 7 3" xfId="1922" xr:uid="{00000000-0005-0000-0000-0000A4070000}"/>
    <cellStyle name="Currency 8 7 4" xfId="1923" xr:uid="{00000000-0005-0000-0000-0000A5070000}"/>
    <cellStyle name="Currency 8 8" xfId="1924" xr:uid="{00000000-0005-0000-0000-0000A6070000}"/>
    <cellStyle name="Currency 8 8 2" xfId="1925" xr:uid="{00000000-0005-0000-0000-0000A7070000}"/>
    <cellStyle name="Currency 8 8 3" xfId="1926" xr:uid="{00000000-0005-0000-0000-0000A8070000}"/>
    <cellStyle name="Currency 8 8 4" xfId="1927" xr:uid="{00000000-0005-0000-0000-0000A9070000}"/>
    <cellStyle name="Currency 8 9" xfId="1928" xr:uid="{00000000-0005-0000-0000-0000AA070000}"/>
    <cellStyle name="Currency 8 9 2" xfId="1929" xr:uid="{00000000-0005-0000-0000-0000AB070000}"/>
    <cellStyle name="Currency 8 9 3" xfId="1930" xr:uid="{00000000-0005-0000-0000-0000AC070000}"/>
    <cellStyle name="Currency 8 9 4" xfId="1931" xr:uid="{00000000-0005-0000-0000-0000AD070000}"/>
    <cellStyle name="Currency 9" xfId="1932" xr:uid="{00000000-0005-0000-0000-0000AE070000}"/>
    <cellStyle name="Currency 9 2" xfId="1933" xr:uid="{00000000-0005-0000-0000-0000AF070000}"/>
    <cellStyle name="Currency 9 3" xfId="1934" xr:uid="{00000000-0005-0000-0000-0000B0070000}"/>
    <cellStyle name="Currency 9 4" xfId="1935" xr:uid="{00000000-0005-0000-0000-0000B1070000}"/>
    <cellStyle name="Currency 9 5" xfId="2610" xr:uid="{00000000-0005-0000-0000-0000B2070000}"/>
    <cellStyle name="Explanatory Text 2" xfId="2594" xr:uid="{00000000-0005-0000-0000-0000B3070000}"/>
    <cellStyle name="Good 2" xfId="2585" xr:uid="{00000000-0005-0000-0000-0000B4070000}"/>
    <cellStyle name="Heading 1" xfId="6" builtinId="16" customBuiltin="1"/>
    <cellStyle name="Heading 2" xfId="7" builtinId="17" customBuiltin="1"/>
    <cellStyle name="Heading 3" xfId="8" builtinId="18" customBuiltin="1"/>
    <cellStyle name="Heading 4" xfId="9" builtinId="19" customBuiltin="1"/>
    <cellStyle name="Input 2" xfId="2588" xr:uid="{00000000-0005-0000-0000-0000B9070000}"/>
    <cellStyle name="Linked Cell 2" xfId="2591" xr:uid="{00000000-0005-0000-0000-0000BA070000}"/>
    <cellStyle name="Neutral 2" xfId="2587" xr:uid="{00000000-0005-0000-0000-0000BB070000}"/>
    <cellStyle name="Normal" xfId="0" builtinId="0"/>
    <cellStyle name="Normal 10" xfId="1936" xr:uid="{00000000-0005-0000-0000-0000BD070000}"/>
    <cellStyle name="Normal 10 2" xfId="1937" xr:uid="{00000000-0005-0000-0000-0000BE070000}"/>
    <cellStyle name="Normal 10 3" xfId="1938" xr:uid="{00000000-0005-0000-0000-0000BF070000}"/>
    <cellStyle name="Normal 10 4" xfId="1939" xr:uid="{00000000-0005-0000-0000-0000C0070000}"/>
    <cellStyle name="Normal 11" xfId="1940" xr:uid="{00000000-0005-0000-0000-0000C1070000}"/>
    <cellStyle name="Normal 11 2" xfId="1941" xr:uid="{00000000-0005-0000-0000-0000C2070000}"/>
    <cellStyle name="Normal 11 3" xfId="1942" xr:uid="{00000000-0005-0000-0000-0000C3070000}"/>
    <cellStyle name="Normal 11 4" xfId="1943" xr:uid="{00000000-0005-0000-0000-0000C4070000}"/>
    <cellStyle name="Normal 11 4 2" xfId="2642" xr:uid="{00000000-0005-0000-0000-0000C5070000}"/>
    <cellStyle name="Normal 11 4 3" xfId="2630" xr:uid="{00000000-0005-0000-0000-0000C6070000}"/>
    <cellStyle name="Normal 11 5" xfId="2608" xr:uid="{00000000-0005-0000-0000-0000C7070000}"/>
    <cellStyle name="Normal 12" xfId="1944" xr:uid="{00000000-0005-0000-0000-0000C8070000}"/>
    <cellStyle name="Normal 12 2" xfId="1945" xr:uid="{00000000-0005-0000-0000-0000C9070000}"/>
    <cellStyle name="Normal 12 3" xfId="1946" xr:uid="{00000000-0005-0000-0000-0000CA070000}"/>
    <cellStyle name="Normal 12 4" xfId="1947" xr:uid="{00000000-0005-0000-0000-0000CB070000}"/>
    <cellStyle name="Normal 13" xfId="1948" xr:uid="{00000000-0005-0000-0000-0000CC070000}"/>
    <cellStyle name="Normal 13 2" xfId="1949" xr:uid="{00000000-0005-0000-0000-0000CD070000}"/>
    <cellStyle name="Normal 13 3" xfId="1950" xr:uid="{00000000-0005-0000-0000-0000CE070000}"/>
    <cellStyle name="Normal 13 4" xfId="1951" xr:uid="{00000000-0005-0000-0000-0000CF070000}"/>
    <cellStyle name="Normal 14" xfId="1952" xr:uid="{00000000-0005-0000-0000-0000D0070000}"/>
    <cellStyle name="Normal 14 2" xfId="1953" xr:uid="{00000000-0005-0000-0000-0000D1070000}"/>
    <cellStyle name="Normal 14 3" xfId="1954" xr:uid="{00000000-0005-0000-0000-0000D2070000}"/>
    <cellStyle name="Normal 14 4" xfId="1955" xr:uid="{00000000-0005-0000-0000-0000D3070000}"/>
    <cellStyle name="Normal 15" xfId="1956" xr:uid="{00000000-0005-0000-0000-0000D4070000}"/>
    <cellStyle name="Normal 15 2" xfId="1957" xr:uid="{00000000-0005-0000-0000-0000D5070000}"/>
    <cellStyle name="Normal 15 3" xfId="1958" xr:uid="{00000000-0005-0000-0000-0000D6070000}"/>
    <cellStyle name="Normal 15 4" xfId="1959" xr:uid="{00000000-0005-0000-0000-0000D7070000}"/>
    <cellStyle name="Normal 16" xfId="1960" xr:uid="{00000000-0005-0000-0000-0000D8070000}"/>
    <cellStyle name="Normal 16 2" xfId="1961" xr:uid="{00000000-0005-0000-0000-0000D9070000}"/>
    <cellStyle name="Normal 16 3" xfId="1962" xr:uid="{00000000-0005-0000-0000-0000DA070000}"/>
    <cellStyle name="Normal 16 4" xfId="1963" xr:uid="{00000000-0005-0000-0000-0000DB070000}"/>
    <cellStyle name="Normal 17" xfId="1964" xr:uid="{00000000-0005-0000-0000-0000DC070000}"/>
    <cellStyle name="Normal 17 2" xfId="1965" xr:uid="{00000000-0005-0000-0000-0000DD070000}"/>
    <cellStyle name="Normal 17 3" xfId="1966" xr:uid="{00000000-0005-0000-0000-0000DE070000}"/>
    <cellStyle name="Normal 17 4" xfId="1967" xr:uid="{00000000-0005-0000-0000-0000DF070000}"/>
    <cellStyle name="Normal 18" xfId="1968" xr:uid="{00000000-0005-0000-0000-0000E0070000}"/>
    <cellStyle name="Normal 18 2" xfId="1969" xr:uid="{00000000-0005-0000-0000-0000E1070000}"/>
    <cellStyle name="Normal 18 3" xfId="1970" xr:uid="{00000000-0005-0000-0000-0000E2070000}"/>
    <cellStyle name="Normal 18 4" xfId="1971" xr:uid="{00000000-0005-0000-0000-0000E3070000}"/>
    <cellStyle name="Normal 19" xfId="1972" xr:uid="{00000000-0005-0000-0000-0000E4070000}"/>
    <cellStyle name="Normal 19 2" xfId="1973" xr:uid="{00000000-0005-0000-0000-0000E5070000}"/>
    <cellStyle name="Normal 19 3" xfId="1974" xr:uid="{00000000-0005-0000-0000-0000E6070000}"/>
    <cellStyle name="Normal 19 4" xfId="1975" xr:uid="{00000000-0005-0000-0000-0000E7070000}"/>
    <cellStyle name="Normal 2" xfId="1" xr:uid="{00000000-0005-0000-0000-0000E8070000}"/>
    <cellStyle name="Normal 2 2" xfId="1977" xr:uid="{00000000-0005-0000-0000-0000E9070000}"/>
    <cellStyle name="Normal 2 2 2" xfId="2617" xr:uid="{00000000-0005-0000-0000-0000EA070000}"/>
    <cellStyle name="Normal 2 2 3" xfId="2613" xr:uid="{00000000-0005-0000-0000-0000EB070000}"/>
    <cellStyle name="Normal 2 3" xfId="1978" xr:uid="{00000000-0005-0000-0000-0000EC070000}"/>
    <cellStyle name="Normal 2 3 2" xfId="1979" xr:uid="{00000000-0005-0000-0000-0000ED070000}"/>
    <cellStyle name="Normal 2 4" xfId="2616" xr:uid="{00000000-0005-0000-0000-0000EE070000}"/>
    <cellStyle name="Normal 2 5" xfId="2611" xr:uid="{00000000-0005-0000-0000-0000EF070000}"/>
    <cellStyle name="Normal 2 6" xfId="1976" xr:uid="{00000000-0005-0000-0000-0000F0070000}"/>
    <cellStyle name="Normal 20" xfId="1980" xr:uid="{00000000-0005-0000-0000-0000F1070000}"/>
    <cellStyle name="Normal 20 2" xfId="1981" xr:uid="{00000000-0005-0000-0000-0000F2070000}"/>
    <cellStyle name="Normal 20 3" xfId="1982" xr:uid="{00000000-0005-0000-0000-0000F3070000}"/>
    <cellStyle name="Normal 20 4" xfId="1983" xr:uid="{00000000-0005-0000-0000-0000F4070000}"/>
    <cellStyle name="Normal 21" xfId="1984" xr:uid="{00000000-0005-0000-0000-0000F5070000}"/>
    <cellStyle name="Normal 21 2" xfId="1985" xr:uid="{00000000-0005-0000-0000-0000F6070000}"/>
    <cellStyle name="Normal 21 3" xfId="1986" xr:uid="{00000000-0005-0000-0000-0000F7070000}"/>
    <cellStyle name="Normal 21 4" xfId="1987" xr:uid="{00000000-0005-0000-0000-0000F8070000}"/>
    <cellStyle name="Normal 22" xfId="1988" xr:uid="{00000000-0005-0000-0000-0000F9070000}"/>
    <cellStyle name="Normal 22 2" xfId="1989" xr:uid="{00000000-0005-0000-0000-0000FA070000}"/>
    <cellStyle name="Normal 22 3" xfId="1990" xr:uid="{00000000-0005-0000-0000-0000FB070000}"/>
    <cellStyle name="Normal 22 4" xfId="1991" xr:uid="{00000000-0005-0000-0000-0000FC070000}"/>
    <cellStyle name="Normal 23" xfId="1992" xr:uid="{00000000-0005-0000-0000-0000FD070000}"/>
    <cellStyle name="Normal 23 2" xfId="1993" xr:uid="{00000000-0005-0000-0000-0000FE070000}"/>
    <cellStyle name="Normal 23 3" xfId="1994" xr:uid="{00000000-0005-0000-0000-0000FF070000}"/>
    <cellStyle name="Normal 23 4" xfId="1995" xr:uid="{00000000-0005-0000-0000-000000080000}"/>
    <cellStyle name="Normal 24" xfId="1996" xr:uid="{00000000-0005-0000-0000-000001080000}"/>
    <cellStyle name="Normal 24 2" xfId="1997" xr:uid="{00000000-0005-0000-0000-000002080000}"/>
    <cellStyle name="Normal 24 3" xfId="1998" xr:uid="{00000000-0005-0000-0000-000003080000}"/>
    <cellStyle name="Normal 24 4" xfId="1999" xr:uid="{00000000-0005-0000-0000-000004080000}"/>
    <cellStyle name="Normal 25" xfId="2000" xr:uid="{00000000-0005-0000-0000-000005080000}"/>
    <cellStyle name="Normal 25 2" xfId="2001" xr:uid="{00000000-0005-0000-0000-000006080000}"/>
    <cellStyle name="Normal 25 3" xfId="2002" xr:uid="{00000000-0005-0000-0000-000007080000}"/>
    <cellStyle name="Normal 25 4" xfId="2003" xr:uid="{00000000-0005-0000-0000-000008080000}"/>
    <cellStyle name="Normal 26" xfId="2004" xr:uid="{00000000-0005-0000-0000-000009080000}"/>
    <cellStyle name="Normal 26 2" xfId="2005" xr:uid="{00000000-0005-0000-0000-00000A080000}"/>
    <cellStyle name="Normal 26 3" xfId="2006" xr:uid="{00000000-0005-0000-0000-00000B080000}"/>
    <cellStyle name="Normal 26 4" xfId="2007" xr:uid="{00000000-0005-0000-0000-00000C080000}"/>
    <cellStyle name="Normal 27" xfId="2008" xr:uid="{00000000-0005-0000-0000-00000D080000}"/>
    <cellStyle name="Normal 27 2" xfId="2009" xr:uid="{00000000-0005-0000-0000-00000E080000}"/>
    <cellStyle name="Normal 27 3" xfId="2010" xr:uid="{00000000-0005-0000-0000-00000F080000}"/>
    <cellStyle name="Normal 27 4" xfId="2011" xr:uid="{00000000-0005-0000-0000-000010080000}"/>
    <cellStyle name="Normal 28" xfId="2012" xr:uid="{00000000-0005-0000-0000-000011080000}"/>
    <cellStyle name="Normal 28 2" xfId="2013" xr:uid="{00000000-0005-0000-0000-000012080000}"/>
    <cellStyle name="Normal 28 3" xfId="2014" xr:uid="{00000000-0005-0000-0000-000013080000}"/>
    <cellStyle name="Normal 28 4" xfId="2015" xr:uid="{00000000-0005-0000-0000-000014080000}"/>
    <cellStyle name="Normal 29" xfId="2016" xr:uid="{00000000-0005-0000-0000-000015080000}"/>
    <cellStyle name="Normal 29 2" xfId="2017" xr:uid="{00000000-0005-0000-0000-000016080000}"/>
    <cellStyle name="Normal 29 3" xfId="2018" xr:uid="{00000000-0005-0000-0000-000017080000}"/>
    <cellStyle name="Normal 29 4" xfId="2019" xr:uid="{00000000-0005-0000-0000-000018080000}"/>
    <cellStyle name="Normal 3" xfId="3" xr:uid="{00000000-0005-0000-0000-000019080000}"/>
    <cellStyle name="Normal 3 10" xfId="2021" xr:uid="{00000000-0005-0000-0000-00001A080000}"/>
    <cellStyle name="Normal 3 10 2" xfId="2022" xr:uid="{00000000-0005-0000-0000-00001B080000}"/>
    <cellStyle name="Normal 3 10 3" xfId="2023" xr:uid="{00000000-0005-0000-0000-00001C080000}"/>
    <cellStyle name="Normal 3 10 4" xfId="2024" xr:uid="{00000000-0005-0000-0000-00001D080000}"/>
    <cellStyle name="Normal 3 11" xfId="2025" xr:uid="{00000000-0005-0000-0000-00001E080000}"/>
    <cellStyle name="Normal 3 11 2" xfId="2026" xr:uid="{00000000-0005-0000-0000-00001F080000}"/>
    <cellStyle name="Normal 3 11 3" xfId="2027" xr:uid="{00000000-0005-0000-0000-000020080000}"/>
    <cellStyle name="Normal 3 11 4" xfId="2028" xr:uid="{00000000-0005-0000-0000-000021080000}"/>
    <cellStyle name="Normal 3 12" xfId="2029" xr:uid="{00000000-0005-0000-0000-000022080000}"/>
    <cellStyle name="Normal 3 12 2" xfId="2030" xr:uid="{00000000-0005-0000-0000-000023080000}"/>
    <cellStyle name="Normal 3 12 3" xfId="2031" xr:uid="{00000000-0005-0000-0000-000024080000}"/>
    <cellStyle name="Normal 3 12 4" xfId="2032" xr:uid="{00000000-0005-0000-0000-000025080000}"/>
    <cellStyle name="Normal 3 13" xfId="2033" xr:uid="{00000000-0005-0000-0000-000026080000}"/>
    <cellStyle name="Normal 3 13 2" xfId="2034" xr:uid="{00000000-0005-0000-0000-000027080000}"/>
    <cellStyle name="Normal 3 13 3" xfId="2035" xr:uid="{00000000-0005-0000-0000-000028080000}"/>
    <cellStyle name="Normal 3 13 4" xfId="2036" xr:uid="{00000000-0005-0000-0000-000029080000}"/>
    <cellStyle name="Normal 3 14" xfId="2037" xr:uid="{00000000-0005-0000-0000-00002A080000}"/>
    <cellStyle name="Normal 3 14 2" xfId="2038" xr:uid="{00000000-0005-0000-0000-00002B080000}"/>
    <cellStyle name="Normal 3 14 3" xfId="2039" xr:uid="{00000000-0005-0000-0000-00002C080000}"/>
    <cellStyle name="Normal 3 14 4" xfId="2040" xr:uid="{00000000-0005-0000-0000-00002D080000}"/>
    <cellStyle name="Normal 3 15" xfId="2041" xr:uid="{00000000-0005-0000-0000-00002E080000}"/>
    <cellStyle name="Normal 3 15 2" xfId="2042" xr:uid="{00000000-0005-0000-0000-00002F080000}"/>
    <cellStyle name="Normal 3 15 3" xfId="2043" xr:uid="{00000000-0005-0000-0000-000030080000}"/>
    <cellStyle name="Normal 3 15 4" xfId="2044" xr:uid="{00000000-0005-0000-0000-000031080000}"/>
    <cellStyle name="Normal 3 16" xfId="2045" xr:uid="{00000000-0005-0000-0000-000032080000}"/>
    <cellStyle name="Normal 3 16 2" xfId="2046" xr:uid="{00000000-0005-0000-0000-000033080000}"/>
    <cellStyle name="Normal 3 16 3" xfId="2047" xr:uid="{00000000-0005-0000-0000-000034080000}"/>
    <cellStyle name="Normal 3 16 4" xfId="2048" xr:uid="{00000000-0005-0000-0000-000035080000}"/>
    <cellStyle name="Normal 3 17" xfId="2049" xr:uid="{00000000-0005-0000-0000-000036080000}"/>
    <cellStyle name="Normal 3 17 2" xfId="2050" xr:uid="{00000000-0005-0000-0000-000037080000}"/>
    <cellStyle name="Normal 3 17 3" xfId="2051" xr:uid="{00000000-0005-0000-0000-000038080000}"/>
    <cellStyle name="Normal 3 17 4" xfId="2052" xr:uid="{00000000-0005-0000-0000-000039080000}"/>
    <cellStyle name="Normal 3 18" xfId="2053" xr:uid="{00000000-0005-0000-0000-00003A080000}"/>
    <cellStyle name="Normal 3 18 2" xfId="2054" xr:uid="{00000000-0005-0000-0000-00003B080000}"/>
    <cellStyle name="Normal 3 18 3" xfId="2055" xr:uid="{00000000-0005-0000-0000-00003C080000}"/>
    <cellStyle name="Normal 3 18 4" xfId="2056" xr:uid="{00000000-0005-0000-0000-00003D080000}"/>
    <cellStyle name="Normal 3 19" xfId="2057" xr:uid="{00000000-0005-0000-0000-00003E080000}"/>
    <cellStyle name="Normal 3 19 2" xfId="2058" xr:uid="{00000000-0005-0000-0000-00003F080000}"/>
    <cellStyle name="Normal 3 19 3" xfId="2059" xr:uid="{00000000-0005-0000-0000-000040080000}"/>
    <cellStyle name="Normal 3 19 4" xfId="2060" xr:uid="{00000000-0005-0000-0000-000041080000}"/>
    <cellStyle name="Normal 3 2" xfId="2061" xr:uid="{00000000-0005-0000-0000-000042080000}"/>
    <cellStyle name="Normal 3 2 2" xfId="2062" xr:uid="{00000000-0005-0000-0000-000043080000}"/>
    <cellStyle name="Normal 3 2 3" xfId="2063" xr:uid="{00000000-0005-0000-0000-000044080000}"/>
    <cellStyle name="Normal 3 2 3 2" xfId="2064" xr:uid="{00000000-0005-0000-0000-000045080000}"/>
    <cellStyle name="Normal 3 2 3 3" xfId="2065" xr:uid="{00000000-0005-0000-0000-000046080000}"/>
    <cellStyle name="Normal 3 20" xfId="2066" xr:uid="{00000000-0005-0000-0000-000047080000}"/>
    <cellStyle name="Normal 3 20 2" xfId="2067" xr:uid="{00000000-0005-0000-0000-000048080000}"/>
    <cellStyle name="Normal 3 20 3" xfId="2068" xr:uid="{00000000-0005-0000-0000-000049080000}"/>
    <cellStyle name="Normal 3 20 4" xfId="2069" xr:uid="{00000000-0005-0000-0000-00004A080000}"/>
    <cellStyle name="Normal 3 21" xfId="2070" xr:uid="{00000000-0005-0000-0000-00004B080000}"/>
    <cellStyle name="Normal 3 21 2" xfId="2071" xr:uid="{00000000-0005-0000-0000-00004C080000}"/>
    <cellStyle name="Normal 3 21 3" xfId="2072" xr:uid="{00000000-0005-0000-0000-00004D080000}"/>
    <cellStyle name="Normal 3 21 4" xfId="2073" xr:uid="{00000000-0005-0000-0000-00004E080000}"/>
    <cellStyle name="Normal 3 22" xfId="2074" xr:uid="{00000000-0005-0000-0000-00004F080000}"/>
    <cellStyle name="Normal 3 23" xfId="2075" xr:uid="{00000000-0005-0000-0000-000050080000}"/>
    <cellStyle name="Normal 3 24" xfId="2076" xr:uid="{00000000-0005-0000-0000-000051080000}"/>
    <cellStyle name="Normal 3 25" xfId="2020" xr:uid="{00000000-0005-0000-0000-000052080000}"/>
    <cellStyle name="Normal 3 3" xfId="2077" xr:uid="{00000000-0005-0000-0000-000053080000}"/>
    <cellStyle name="Normal 3 3 2" xfId="2078" xr:uid="{00000000-0005-0000-0000-000054080000}"/>
    <cellStyle name="Normal 3 3 3" xfId="2079" xr:uid="{00000000-0005-0000-0000-000055080000}"/>
    <cellStyle name="Normal 3 3 4" xfId="2080" xr:uid="{00000000-0005-0000-0000-000056080000}"/>
    <cellStyle name="Normal 3 4" xfId="2081" xr:uid="{00000000-0005-0000-0000-000057080000}"/>
    <cellStyle name="Normal 3 4 2" xfId="2082" xr:uid="{00000000-0005-0000-0000-000058080000}"/>
    <cellStyle name="Normal 3 4 3" xfId="2083" xr:uid="{00000000-0005-0000-0000-000059080000}"/>
    <cellStyle name="Normal 3 4 4" xfId="2084" xr:uid="{00000000-0005-0000-0000-00005A080000}"/>
    <cellStyle name="Normal 3 5" xfId="2085" xr:uid="{00000000-0005-0000-0000-00005B080000}"/>
    <cellStyle name="Normal 3 5 2" xfId="2086" xr:uid="{00000000-0005-0000-0000-00005C080000}"/>
    <cellStyle name="Normal 3 5 3" xfId="2087" xr:uid="{00000000-0005-0000-0000-00005D080000}"/>
    <cellStyle name="Normal 3 5 4" xfId="2088" xr:uid="{00000000-0005-0000-0000-00005E080000}"/>
    <cellStyle name="Normal 3 6" xfId="2089" xr:uid="{00000000-0005-0000-0000-00005F080000}"/>
    <cellStyle name="Normal 3 6 2" xfId="2090" xr:uid="{00000000-0005-0000-0000-000060080000}"/>
    <cellStyle name="Normal 3 6 3" xfId="2091" xr:uid="{00000000-0005-0000-0000-000061080000}"/>
    <cellStyle name="Normal 3 6 4" xfId="2092" xr:uid="{00000000-0005-0000-0000-000062080000}"/>
    <cellStyle name="Normal 3 7" xfId="2093" xr:uid="{00000000-0005-0000-0000-000063080000}"/>
    <cellStyle name="Normal 3 7 2" xfId="2094" xr:uid="{00000000-0005-0000-0000-000064080000}"/>
    <cellStyle name="Normal 3 7 3" xfId="2095" xr:uid="{00000000-0005-0000-0000-000065080000}"/>
    <cellStyle name="Normal 3 7 4" xfId="2096" xr:uid="{00000000-0005-0000-0000-000066080000}"/>
    <cellStyle name="Normal 3 8" xfId="2097" xr:uid="{00000000-0005-0000-0000-000067080000}"/>
    <cellStyle name="Normal 3 8 2" xfId="2098" xr:uid="{00000000-0005-0000-0000-000068080000}"/>
    <cellStyle name="Normal 3 8 3" xfId="2099" xr:uid="{00000000-0005-0000-0000-000069080000}"/>
    <cellStyle name="Normal 3 8 4" xfId="2100" xr:uid="{00000000-0005-0000-0000-00006A080000}"/>
    <cellStyle name="Normal 3 9" xfId="2101" xr:uid="{00000000-0005-0000-0000-00006B080000}"/>
    <cellStyle name="Normal 3 9 2" xfId="2102" xr:uid="{00000000-0005-0000-0000-00006C080000}"/>
    <cellStyle name="Normal 3 9 3" xfId="2103" xr:uid="{00000000-0005-0000-0000-00006D080000}"/>
    <cellStyle name="Normal 3 9 4" xfId="2104" xr:uid="{00000000-0005-0000-0000-00006E080000}"/>
    <cellStyle name="Normal 30" xfId="2105" xr:uid="{00000000-0005-0000-0000-00006F080000}"/>
    <cellStyle name="Normal 31" xfId="2106" xr:uid="{00000000-0005-0000-0000-000070080000}"/>
    <cellStyle name="Normal 32" xfId="15" xr:uid="{00000000-0005-0000-0000-000071080000}"/>
    <cellStyle name="Normal 32 2" xfId="2638" xr:uid="{00000000-0005-0000-0000-000072080000}"/>
    <cellStyle name="Normal 33" xfId="2107" xr:uid="{00000000-0005-0000-0000-000073080000}"/>
    <cellStyle name="Normal 34" xfId="2627" xr:uid="{00000000-0005-0000-0000-000074080000}"/>
    <cellStyle name="Normal 35" xfId="2646" xr:uid="{00000000-0005-0000-0000-000075080000}"/>
    <cellStyle name="Normal 35 2" xfId="2653" xr:uid="{00000000-0005-0000-0000-000076080000}"/>
    <cellStyle name="Normal 36" xfId="2649" xr:uid="{00000000-0005-0000-0000-000077080000}"/>
    <cellStyle name="Normal 37" xfId="10" xr:uid="{00000000-0005-0000-0000-000078080000}"/>
    <cellStyle name="Normal 4" xfId="2108" xr:uid="{00000000-0005-0000-0000-000079080000}"/>
    <cellStyle name="Normal 4 10" xfId="2109" xr:uid="{00000000-0005-0000-0000-00007A080000}"/>
    <cellStyle name="Normal 4 10 2" xfId="2110" xr:uid="{00000000-0005-0000-0000-00007B080000}"/>
    <cellStyle name="Normal 4 10 3" xfId="2111" xr:uid="{00000000-0005-0000-0000-00007C080000}"/>
    <cellStyle name="Normal 4 10 4" xfId="2112" xr:uid="{00000000-0005-0000-0000-00007D080000}"/>
    <cellStyle name="Normal 4 11" xfId="2113" xr:uid="{00000000-0005-0000-0000-00007E080000}"/>
    <cellStyle name="Normal 4 11 2" xfId="2114" xr:uid="{00000000-0005-0000-0000-00007F080000}"/>
    <cellStyle name="Normal 4 11 3" xfId="2115" xr:uid="{00000000-0005-0000-0000-000080080000}"/>
    <cellStyle name="Normal 4 11 4" xfId="2116" xr:uid="{00000000-0005-0000-0000-000081080000}"/>
    <cellStyle name="Normal 4 12" xfId="2117" xr:uid="{00000000-0005-0000-0000-000082080000}"/>
    <cellStyle name="Normal 4 12 2" xfId="2118" xr:uid="{00000000-0005-0000-0000-000083080000}"/>
    <cellStyle name="Normal 4 12 3" xfId="2119" xr:uid="{00000000-0005-0000-0000-000084080000}"/>
    <cellStyle name="Normal 4 12 4" xfId="2120" xr:uid="{00000000-0005-0000-0000-000085080000}"/>
    <cellStyle name="Normal 4 13" xfId="2121" xr:uid="{00000000-0005-0000-0000-000086080000}"/>
    <cellStyle name="Normal 4 13 2" xfId="2122" xr:uid="{00000000-0005-0000-0000-000087080000}"/>
    <cellStyle name="Normal 4 13 3" xfId="2123" xr:uid="{00000000-0005-0000-0000-000088080000}"/>
    <cellStyle name="Normal 4 13 4" xfId="2124" xr:uid="{00000000-0005-0000-0000-000089080000}"/>
    <cellStyle name="Normal 4 14" xfId="2125" xr:uid="{00000000-0005-0000-0000-00008A080000}"/>
    <cellStyle name="Normal 4 14 2" xfId="2126" xr:uid="{00000000-0005-0000-0000-00008B080000}"/>
    <cellStyle name="Normal 4 14 3" xfId="2127" xr:uid="{00000000-0005-0000-0000-00008C080000}"/>
    <cellStyle name="Normal 4 14 4" xfId="2128" xr:uid="{00000000-0005-0000-0000-00008D080000}"/>
    <cellStyle name="Normal 4 15" xfId="2129" xr:uid="{00000000-0005-0000-0000-00008E080000}"/>
    <cellStyle name="Normal 4 15 2" xfId="2130" xr:uid="{00000000-0005-0000-0000-00008F080000}"/>
    <cellStyle name="Normal 4 15 3" xfId="2131" xr:uid="{00000000-0005-0000-0000-000090080000}"/>
    <cellStyle name="Normal 4 15 4" xfId="2132" xr:uid="{00000000-0005-0000-0000-000091080000}"/>
    <cellStyle name="Normal 4 16" xfId="2133" xr:uid="{00000000-0005-0000-0000-000092080000}"/>
    <cellStyle name="Normal 4 16 2" xfId="2134" xr:uid="{00000000-0005-0000-0000-000093080000}"/>
    <cellStyle name="Normal 4 16 3" xfId="2135" xr:uid="{00000000-0005-0000-0000-000094080000}"/>
    <cellStyle name="Normal 4 16 4" xfId="2136" xr:uid="{00000000-0005-0000-0000-000095080000}"/>
    <cellStyle name="Normal 4 17" xfId="2137" xr:uid="{00000000-0005-0000-0000-000096080000}"/>
    <cellStyle name="Normal 4 17 2" xfId="2138" xr:uid="{00000000-0005-0000-0000-000097080000}"/>
    <cellStyle name="Normal 4 17 3" xfId="2139" xr:uid="{00000000-0005-0000-0000-000098080000}"/>
    <cellStyle name="Normal 4 17 4" xfId="2140" xr:uid="{00000000-0005-0000-0000-000099080000}"/>
    <cellStyle name="Normal 4 18" xfId="2141" xr:uid="{00000000-0005-0000-0000-00009A080000}"/>
    <cellStyle name="Normal 4 18 2" xfId="2142" xr:uid="{00000000-0005-0000-0000-00009B080000}"/>
    <cellStyle name="Normal 4 18 3" xfId="2143" xr:uid="{00000000-0005-0000-0000-00009C080000}"/>
    <cellStyle name="Normal 4 18 4" xfId="2144" xr:uid="{00000000-0005-0000-0000-00009D080000}"/>
    <cellStyle name="Normal 4 19" xfId="2145" xr:uid="{00000000-0005-0000-0000-00009E080000}"/>
    <cellStyle name="Normal 4 19 2" xfId="2146" xr:uid="{00000000-0005-0000-0000-00009F080000}"/>
    <cellStyle name="Normal 4 19 3" xfId="2147" xr:uid="{00000000-0005-0000-0000-0000A0080000}"/>
    <cellStyle name="Normal 4 19 4" xfId="2148" xr:uid="{00000000-0005-0000-0000-0000A1080000}"/>
    <cellStyle name="Normal 4 2" xfId="2149" xr:uid="{00000000-0005-0000-0000-0000A2080000}"/>
    <cellStyle name="Normal 4 2 2" xfId="2150" xr:uid="{00000000-0005-0000-0000-0000A3080000}"/>
    <cellStyle name="Normal 4 2 3" xfId="2151" xr:uid="{00000000-0005-0000-0000-0000A4080000}"/>
    <cellStyle name="Normal 4 2 4" xfId="2152" xr:uid="{00000000-0005-0000-0000-0000A5080000}"/>
    <cellStyle name="Normal 4 20" xfId="2153" xr:uid="{00000000-0005-0000-0000-0000A6080000}"/>
    <cellStyle name="Normal 4 20 2" xfId="2154" xr:uid="{00000000-0005-0000-0000-0000A7080000}"/>
    <cellStyle name="Normal 4 20 3" xfId="2155" xr:uid="{00000000-0005-0000-0000-0000A8080000}"/>
    <cellStyle name="Normal 4 20 4" xfId="2156" xr:uid="{00000000-0005-0000-0000-0000A9080000}"/>
    <cellStyle name="Normal 4 21" xfId="2157" xr:uid="{00000000-0005-0000-0000-0000AA080000}"/>
    <cellStyle name="Normal 4 21 2" xfId="2158" xr:uid="{00000000-0005-0000-0000-0000AB080000}"/>
    <cellStyle name="Normal 4 21 3" xfId="2159" xr:uid="{00000000-0005-0000-0000-0000AC080000}"/>
    <cellStyle name="Normal 4 21 4" xfId="2160" xr:uid="{00000000-0005-0000-0000-0000AD080000}"/>
    <cellStyle name="Normal 4 22" xfId="2161" xr:uid="{00000000-0005-0000-0000-0000AE080000}"/>
    <cellStyle name="Normal 4 23" xfId="2162" xr:uid="{00000000-0005-0000-0000-0000AF080000}"/>
    <cellStyle name="Normal 4 24" xfId="2163" xr:uid="{00000000-0005-0000-0000-0000B0080000}"/>
    <cellStyle name="Normal 4 3" xfId="2164" xr:uid="{00000000-0005-0000-0000-0000B1080000}"/>
    <cellStyle name="Normal 4 3 2" xfId="2165" xr:uid="{00000000-0005-0000-0000-0000B2080000}"/>
    <cellStyle name="Normal 4 3 3" xfId="2166" xr:uid="{00000000-0005-0000-0000-0000B3080000}"/>
    <cellStyle name="Normal 4 3 4" xfId="2167" xr:uid="{00000000-0005-0000-0000-0000B4080000}"/>
    <cellStyle name="Normal 4 4" xfId="2168" xr:uid="{00000000-0005-0000-0000-0000B5080000}"/>
    <cellStyle name="Normal 4 4 2" xfId="2169" xr:uid="{00000000-0005-0000-0000-0000B6080000}"/>
    <cellStyle name="Normal 4 4 3" xfId="2170" xr:uid="{00000000-0005-0000-0000-0000B7080000}"/>
    <cellStyle name="Normal 4 4 4" xfId="2171" xr:uid="{00000000-0005-0000-0000-0000B8080000}"/>
    <cellStyle name="Normal 4 5" xfId="2172" xr:uid="{00000000-0005-0000-0000-0000B9080000}"/>
    <cellStyle name="Normal 4 5 2" xfId="2173" xr:uid="{00000000-0005-0000-0000-0000BA080000}"/>
    <cellStyle name="Normal 4 5 3" xfId="2174" xr:uid="{00000000-0005-0000-0000-0000BB080000}"/>
    <cellStyle name="Normal 4 5 4" xfId="2175" xr:uid="{00000000-0005-0000-0000-0000BC080000}"/>
    <cellStyle name="Normal 4 6" xfId="2176" xr:uid="{00000000-0005-0000-0000-0000BD080000}"/>
    <cellStyle name="Normal 4 6 2" xfId="2177" xr:uid="{00000000-0005-0000-0000-0000BE080000}"/>
    <cellStyle name="Normal 4 6 3" xfId="2178" xr:uid="{00000000-0005-0000-0000-0000BF080000}"/>
    <cellStyle name="Normal 4 6 4" xfId="2179" xr:uid="{00000000-0005-0000-0000-0000C0080000}"/>
    <cellStyle name="Normal 4 7" xfId="2180" xr:uid="{00000000-0005-0000-0000-0000C1080000}"/>
    <cellStyle name="Normal 4 7 2" xfId="2181" xr:uid="{00000000-0005-0000-0000-0000C2080000}"/>
    <cellStyle name="Normal 4 7 3" xfId="2182" xr:uid="{00000000-0005-0000-0000-0000C3080000}"/>
    <cellStyle name="Normal 4 7 4" xfId="2183" xr:uid="{00000000-0005-0000-0000-0000C4080000}"/>
    <cellStyle name="Normal 4 8" xfId="2184" xr:uid="{00000000-0005-0000-0000-0000C5080000}"/>
    <cellStyle name="Normal 4 8 2" xfId="2185" xr:uid="{00000000-0005-0000-0000-0000C6080000}"/>
    <cellStyle name="Normal 4 8 3" xfId="2186" xr:uid="{00000000-0005-0000-0000-0000C7080000}"/>
    <cellStyle name="Normal 4 8 4" xfId="2187" xr:uid="{00000000-0005-0000-0000-0000C8080000}"/>
    <cellStyle name="Normal 4 9" xfId="2188" xr:uid="{00000000-0005-0000-0000-0000C9080000}"/>
    <cellStyle name="Normal 4 9 2" xfId="2189" xr:uid="{00000000-0005-0000-0000-0000CA080000}"/>
    <cellStyle name="Normal 4 9 3" xfId="2190" xr:uid="{00000000-0005-0000-0000-0000CB080000}"/>
    <cellStyle name="Normal 4 9 4" xfId="2191" xr:uid="{00000000-0005-0000-0000-0000CC080000}"/>
    <cellStyle name="Normal 5" xfId="2192" xr:uid="{00000000-0005-0000-0000-0000CD080000}"/>
    <cellStyle name="Normal 5 10" xfId="2193" xr:uid="{00000000-0005-0000-0000-0000CE080000}"/>
    <cellStyle name="Normal 5 10 2" xfId="2194" xr:uid="{00000000-0005-0000-0000-0000CF080000}"/>
    <cellStyle name="Normal 5 10 3" xfId="2195" xr:uid="{00000000-0005-0000-0000-0000D0080000}"/>
    <cellStyle name="Normal 5 10 4" xfId="2196" xr:uid="{00000000-0005-0000-0000-0000D1080000}"/>
    <cellStyle name="Normal 5 11" xfId="2197" xr:uid="{00000000-0005-0000-0000-0000D2080000}"/>
    <cellStyle name="Normal 5 11 2" xfId="2198" xr:uid="{00000000-0005-0000-0000-0000D3080000}"/>
    <cellStyle name="Normal 5 11 3" xfId="2199" xr:uid="{00000000-0005-0000-0000-0000D4080000}"/>
    <cellStyle name="Normal 5 11 4" xfId="2200" xr:uid="{00000000-0005-0000-0000-0000D5080000}"/>
    <cellStyle name="Normal 5 12" xfId="2201" xr:uid="{00000000-0005-0000-0000-0000D6080000}"/>
    <cellStyle name="Normal 5 12 2" xfId="2202" xr:uid="{00000000-0005-0000-0000-0000D7080000}"/>
    <cellStyle name="Normal 5 12 3" xfId="2203" xr:uid="{00000000-0005-0000-0000-0000D8080000}"/>
    <cellStyle name="Normal 5 12 4" xfId="2204" xr:uid="{00000000-0005-0000-0000-0000D9080000}"/>
    <cellStyle name="Normal 5 13" xfId="2205" xr:uid="{00000000-0005-0000-0000-0000DA080000}"/>
    <cellStyle name="Normal 5 13 2" xfId="2206" xr:uid="{00000000-0005-0000-0000-0000DB080000}"/>
    <cellStyle name="Normal 5 13 3" xfId="2207" xr:uid="{00000000-0005-0000-0000-0000DC080000}"/>
    <cellStyle name="Normal 5 13 4" xfId="2208" xr:uid="{00000000-0005-0000-0000-0000DD080000}"/>
    <cellStyle name="Normal 5 14" xfId="2209" xr:uid="{00000000-0005-0000-0000-0000DE080000}"/>
    <cellStyle name="Normal 5 14 2" xfId="2210" xr:uid="{00000000-0005-0000-0000-0000DF080000}"/>
    <cellStyle name="Normal 5 14 3" xfId="2211" xr:uid="{00000000-0005-0000-0000-0000E0080000}"/>
    <cellStyle name="Normal 5 14 4" xfId="2212" xr:uid="{00000000-0005-0000-0000-0000E1080000}"/>
    <cellStyle name="Normal 5 15" xfId="2213" xr:uid="{00000000-0005-0000-0000-0000E2080000}"/>
    <cellStyle name="Normal 5 15 2" xfId="2214" xr:uid="{00000000-0005-0000-0000-0000E3080000}"/>
    <cellStyle name="Normal 5 15 3" xfId="2215" xr:uid="{00000000-0005-0000-0000-0000E4080000}"/>
    <cellStyle name="Normal 5 15 4" xfId="2216" xr:uid="{00000000-0005-0000-0000-0000E5080000}"/>
    <cellStyle name="Normal 5 16" xfId="2217" xr:uid="{00000000-0005-0000-0000-0000E6080000}"/>
    <cellStyle name="Normal 5 16 2" xfId="2218" xr:uid="{00000000-0005-0000-0000-0000E7080000}"/>
    <cellStyle name="Normal 5 16 3" xfId="2219" xr:uid="{00000000-0005-0000-0000-0000E8080000}"/>
    <cellStyle name="Normal 5 16 4" xfId="2220" xr:uid="{00000000-0005-0000-0000-0000E9080000}"/>
    <cellStyle name="Normal 5 17" xfId="2221" xr:uid="{00000000-0005-0000-0000-0000EA080000}"/>
    <cellStyle name="Normal 5 17 2" xfId="2222" xr:uid="{00000000-0005-0000-0000-0000EB080000}"/>
    <cellStyle name="Normal 5 17 3" xfId="2223" xr:uid="{00000000-0005-0000-0000-0000EC080000}"/>
    <cellStyle name="Normal 5 17 4" xfId="2224" xr:uid="{00000000-0005-0000-0000-0000ED080000}"/>
    <cellStyle name="Normal 5 18" xfId="2225" xr:uid="{00000000-0005-0000-0000-0000EE080000}"/>
    <cellStyle name="Normal 5 18 2" xfId="2226" xr:uid="{00000000-0005-0000-0000-0000EF080000}"/>
    <cellStyle name="Normal 5 18 3" xfId="2227" xr:uid="{00000000-0005-0000-0000-0000F0080000}"/>
    <cellStyle name="Normal 5 18 4" xfId="2228" xr:uid="{00000000-0005-0000-0000-0000F1080000}"/>
    <cellStyle name="Normal 5 19" xfId="2229" xr:uid="{00000000-0005-0000-0000-0000F2080000}"/>
    <cellStyle name="Normal 5 19 2" xfId="2230" xr:uid="{00000000-0005-0000-0000-0000F3080000}"/>
    <cellStyle name="Normal 5 19 3" xfId="2231" xr:uid="{00000000-0005-0000-0000-0000F4080000}"/>
    <cellStyle name="Normal 5 19 4" xfId="2232" xr:uid="{00000000-0005-0000-0000-0000F5080000}"/>
    <cellStyle name="Normal 5 2" xfId="2233" xr:uid="{00000000-0005-0000-0000-0000F6080000}"/>
    <cellStyle name="Normal 5 2 2" xfId="2234" xr:uid="{00000000-0005-0000-0000-0000F7080000}"/>
    <cellStyle name="Normal 5 2 3" xfId="2235" xr:uid="{00000000-0005-0000-0000-0000F8080000}"/>
    <cellStyle name="Normal 5 2 4" xfId="2236" xr:uid="{00000000-0005-0000-0000-0000F9080000}"/>
    <cellStyle name="Normal 5 20" xfId="2237" xr:uid="{00000000-0005-0000-0000-0000FA080000}"/>
    <cellStyle name="Normal 5 20 2" xfId="2238" xr:uid="{00000000-0005-0000-0000-0000FB080000}"/>
    <cellStyle name="Normal 5 20 3" xfId="2239" xr:uid="{00000000-0005-0000-0000-0000FC080000}"/>
    <cellStyle name="Normal 5 20 4" xfId="2240" xr:uid="{00000000-0005-0000-0000-0000FD080000}"/>
    <cellStyle name="Normal 5 21" xfId="2241" xr:uid="{00000000-0005-0000-0000-0000FE080000}"/>
    <cellStyle name="Normal 5 21 2" xfId="2242" xr:uid="{00000000-0005-0000-0000-0000FF080000}"/>
    <cellStyle name="Normal 5 21 3" xfId="2243" xr:uid="{00000000-0005-0000-0000-000000090000}"/>
    <cellStyle name="Normal 5 21 4" xfId="2244" xr:uid="{00000000-0005-0000-0000-000001090000}"/>
    <cellStyle name="Normal 5 22" xfId="2245" xr:uid="{00000000-0005-0000-0000-000002090000}"/>
    <cellStyle name="Normal 5 23" xfId="2246" xr:uid="{00000000-0005-0000-0000-000003090000}"/>
    <cellStyle name="Normal 5 24" xfId="2247" xr:uid="{00000000-0005-0000-0000-000004090000}"/>
    <cellStyle name="Normal 5 25" xfId="2648" xr:uid="{00000000-0005-0000-0000-000005090000}"/>
    <cellStyle name="Normal 5 3" xfId="2248" xr:uid="{00000000-0005-0000-0000-000006090000}"/>
    <cellStyle name="Normal 5 3 2" xfId="2249" xr:uid="{00000000-0005-0000-0000-000007090000}"/>
    <cellStyle name="Normal 5 3 3" xfId="2250" xr:uid="{00000000-0005-0000-0000-000008090000}"/>
    <cellStyle name="Normal 5 3 4" xfId="2251" xr:uid="{00000000-0005-0000-0000-000009090000}"/>
    <cellStyle name="Normal 5 4" xfId="2252" xr:uid="{00000000-0005-0000-0000-00000A090000}"/>
    <cellStyle name="Normal 5 4 2" xfId="2253" xr:uid="{00000000-0005-0000-0000-00000B090000}"/>
    <cellStyle name="Normal 5 4 3" xfId="2254" xr:uid="{00000000-0005-0000-0000-00000C090000}"/>
    <cellStyle name="Normal 5 4 4" xfId="2255" xr:uid="{00000000-0005-0000-0000-00000D090000}"/>
    <cellStyle name="Normal 5 5" xfId="2256" xr:uid="{00000000-0005-0000-0000-00000E090000}"/>
    <cellStyle name="Normal 5 5 2" xfId="2257" xr:uid="{00000000-0005-0000-0000-00000F090000}"/>
    <cellStyle name="Normal 5 5 3" xfId="2258" xr:uid="{00000000-0005-0000-0000-000010090000}"/>
    <cellStyle name="Normal 5 5 4" xfId="2259" xr:uid="{00000000-0005-0000-0000-000011090000}"/>
    <cellStyle name="Normal 5 6" xfId="2260" xr:uid="{00000000-0005-0000-0000-000012090000}"/>
    <cellStyle name="Normal 5 6 2" xfId="2261" xr:uid="{00000000-0005-0000-0000-000013090000}"/>
    <cellStyle name="Normal 5 6 3" xfId="2262" xr:uid="{00000000-0005-0000-0000-000014090000}"/>
    <cellStyle name="Normal 5 6 4" xfId="2263" xr:uid="{00000000-0005-0000-0000-000015090000}"/>
    <cellStyle name="Normal 5 7" xfId="2264" xr:uid="{00000000-0005-0000-0000-000016090000}"/>
    <cellStyle name="Normal 5 7 2" xfId="2265" xr:uid="{00000000-0005-0000-0000-000017090000}"/>
    <cellStyle name="Normal 5 7 3" xfId="2266" xr:uid="{00000000-0005-0000-0000-000018090000}"/>
    <cellStyle name="Normal 5 7 4" xfId="2267" xr:uid="{00000000-0005-0000-0000-000019090000}"/>
    <cellStyle name="Normal 5 8" xfId="2268" xr:uid="{00000000-0005-0000-0000-00001A090000}"/>
    <cellStyle name="Normal 5 8 2" xfId="2269" xr:uid="{00000000-0005-0000-0000-00001B090000}"/>
    <cellStyle name="Normal 5 8 3" xfId="2270" xr:uid="{00000000-0005-0000-0000-00001C090000}"/>
    <cellStyle name="Normal 5 8 4" xfId="2271" xr:uid="{00000000-0005-0000-0000-00001D090000}"/>
    <cellStyle name="Normal 5 9" xfId="2272" xr:uid="{00000000-0005-0000-0000-00001E090000}"/>
    <cellStyle name="Normal 5 9 2" xfId="2273" xr:uid="{00000000-0005-0000-0000-00001F090000}"/>
    <cellStyle name="Normal 5 9 3" xfId="2274" xr:uid="{00000000-0005-0000-0000-000020090000}"/>
    <cellStyle name="Normal 5 9 4" xfId="2275" xr:uid="{00000000-0005-0000-0000-000021090000}"/>
    <cellStyle name="Normal 6" xfId="2276" xr:uid="{00000000-0005-0000-0000-000022090000}"/>
    <cellStyle name="Normal 6 10" xfId="2277" xr:uid="{00000000-0005-0000-0000-000023090000}"/>
    <cellStyle name="Normal 6 10 2" xfId="2278" xr:uid="{00000000-0005-0000-0000-000024090000}"/>
    <cellStyle name="Normal 6 10 3" xfId="2279" xr:uid="{00000000-0005-0000-0000-000025090000}"/>
    <cellStyle name="Normal 6 10 4" xfId="2280" xr:uid="{00000000-0005-0000-0000-000026090000}"/>
    <cellStyle name="Normal 6 11" xfId="2281" xr:uid="{00000000-0005-0000-0000-000027090000}"/>
    <cellStyle name="Normal 6 11 2" xfId="2282" xr:uid="{00000000-0005-0000-0000-000028090000}"/>
    <cellStyle name="Normal 6 11 3" xfId="2283" xr:uid="{00000000-0005-0000-0000-000029090000}"/>
    <cellStyle name="Normal 6 11 4" xfId="2284" xr:uid="{00000000-0005-0000-0000-00002A090000}"/>
    <cellStyle name="Normal 6 12" xfId="2285" xr:uid="{00000000-0005-0000-0000-00002B090000}"/>
    <cellStyle name="Normal 6 12 2" xfId="2286" xr:uid="{00000000-0005-0000-0000-00002C090000}"/>
    <cellStyle name="Normal 6 12 3" xfId="2287" xr:uid="{00000000-0005-0000-0000-00002D090000}"/>
    <cellStyle name="Normal 6 12 4" xfId="2288" xr:uid="{00000000-0005-0000-0000-00002E090000}"/>
    <cellStyle name="Normal 6 13" xfId="2289" xr:uid="{00000000-0005-0000-0000-00002F090000}"/>
    <cellStyle name="Normal 6 13 2" xfId="2290" xr:uid="{00000000-0005-0000-0000-000030090000}"/>
    <cellStyle name="Normal 6 13 3" xfId="2291" xr:uid="{00000000-0005-0000-0000-000031090000}"/>
    <cellStyle name="Normal 6 13 4" xfId="2292" xr:uid="{00000000-0005-0000-0000-000032090000}"/>
    <cellStyle name="Normal 6 14" xfId="2293" xr:uid="{00000000-0005-0000-0000-000033090000}"/>
    <cellStyle name="Normal 6 14 2" xfId="2294" xr:uid="{00000000-0005-0000-0000-000034090000}"/>
    <cellStyle name="Normal 6 14 3" xfId="2295" xr:uid="{00000000-0005-0000-0000-000035090000}"/>
    <cellStyle name="Normal 6 14 4" xfId="2296" xr:uid="{00000000-0005-0000-0000-000036090000}"/>
    <cellStyle name="Normal 6 15" xfId="2297" xr:uid="{00000000-0005-0000-0000-000037090000}"/>
    <cellStyle name="Normal 6 15 2" xfId="2298" xr:uid="{00000000-0005-0000-0000-000038090000}"/>
    <cellStyle name="Normal 6 15 3" xfId="2299" xr:uid="{00000000-0005-0000-0000-000039090000}"/>
    <cellStyle name="Normal 6 15 4" xfId="2300" xr:uid="{00000000-0005-0000-0000-00003A090000}"/>
    <cellStyle name="Normal 6 16" xfId="2301" xr:uid="{00000000-0005-0000-0000-00003B090000}"/>
    <cellStyle name="Normal 6 16 2" xfId="2302" xr:uid="{00000000-0005-0000-0000-00003C090000}"/>
    <cellStyle name="Normal 6 16 3" xfId="2303" xr:uid="{00000000-0005-0000-0000-00003D090000}"/>
    <cellStyle name="Normal 6 16 4" xfId="2304" xr:uid="{00000000-0005-0000-0000-00003E090000}"/>
    <cellStyle name="Normal 6 17" xfId="2305" xr:uid="{00000000-0005-0000-0000-00003F090000}"/>
    <cellStyle name="Normal 6 17 2" xfId="2306" xr:uid="{00000000-0005-0000-0000-000040090000}"/>
    <cellStyle name="Normal 6 17 3" xfId="2307" xr:uid="{00000000-0005-0000-0000-000041090000}"/>
    <cellStyle name="Normal 6 17 4" xfId="2308" xr:uid="{00000000-0005-0000-0000-000042090000}"/>
    <cellStyle name="Normal 6 18" xfId="2309" xr:uid="{00000000-0005-0000-0000-000043090000}"/>
    <cellStyle name="Normal 6 18 2" xfId="2310" xr:uid="{00000000-0005-0000-0000-000044090000}"/>
    <cellStyle name="Normal 6 18 3" xfId="2311" xr:uid="{00000000-0005-0000-0000-000045090000}"/>
    <cellStyle name="Normal 6 18 4" xfId="2312" xr:uid="{00000000-0005-0000-0000-000046090000}"/>
    <cellStyle name="Normal 6 19" xfId="2313" xr:uid="{00000000-0005-0000-0000-000047090000}"/>
    <cellStyle name="Normal 6 19 2" xfId="2314" xr:uid="{00000000-0005-0000-0000-000048090000}"/>
    <cellStyle name="Normal 6 19 3" xfId="2315" xr:uid="{00000000-0005-0000-0000-000049090000}"/>
    <cellStyle name="Normal 6 19 4" xfId="2316" xr:uid="{00000000-0005-0000-0000-00004A090000}"/>
    <cellStyle name="Normal 6 2" xfId="2317" xr:uid="{00000000-0005-0000-0000-00004B090000}"/>
    <cellStyle name="Normal 6 2 2" xfId="2318" xr:uid="{00000000-0005-0000-0000-00004C090000}"/>
    <cellStyle name="Normal 6 2 3" xfId="2319" xr:uid="{00000000-0005-0000-0000-00004D090000}"/>
    <cellStyle name="Normal 6 2 4" xfId="2320" xr:uid="{00000000-0005-0000-0000-00004E090000}"/>
    <cellStyle name="Normal 6 20" xfId="2321" xr:uid="{00000000-0005-0000-0000-00004F090000}"/>
    <cellStyle name="Normal 6 20 2" xfId="2322" xr:uid="{00000000-0005-0000-0000-000050090000}"/>
    <cellStyle name="Normal 6 20 3" xfId="2323" xr:uid="{00000000-0005-0000-0000-000051090000}"/>
    <cellStyle name="Normal 6 20 4" xfId="2324" xr:uid="{00000000-0005-0000-0000-000052090000}"/>
    <cellStyle name="Normal 6 21" xfId="2325" xr:uid="{00000000-0005-0000-0000-000053090000}"/>
    <cellStyle name="Normal 6 21 2" xfId="2326" xr:uid="{00000000-0005-0000-0000-000054090000}"/>
    <cellStyle name="Normal 6 21 3" xfId="2327" xr:uid="{00000000-0005-0000-0000-000055090000}"/>
    <cellStyle name="Normal 6 21 4" xfId="2328" xr:uid="{00000000-0005-0000-0000-000056090000}"/>
    <cellStyle name="Normal 6 22" xfId="2329" xr:uid="{00000000-0005-0000-0000-000057090000}"/>
    <cellStyle name="Normal 6 23" xfId="2330" xr:uid="{00000000-0005-0000-0000-000058090000}"/>
    <cellStyle name="Normal 6 24" xfId="2331" xr:uid="{00000000-0005-0000-0000-000059090000}"/>
    <cellStyle name="Normal 6 3" xfId="2332" xr:uid="{00000000-0005-0000-0000-00005A090000}"/>
    <cellStyle name="Normal 6 3 2" xfId="2333" xr:uid="{00000000-0005-0000-0000-00005B090000}"/>
    <cellStyle name="Normal 6 3 3" xfId="2334" xr:uid="{00000000-0005-0000-0000-00005C090000}"/>
    <cellStyle name="Normal 6 3 4" xfId="2335" xr:uid="{00000000-0005-0000-0000-00005D090000}"/>
    <cellStyle name="Normal 6 4" xfId="2336" xr:uid="{00000000-0005-0000-0000-00005E090000}"/>
    <cellStyle name="Normal 6 4 2" xfId="2337" xr:uid="{00000000-0005-0000-0000-00005F090000}"/>
    <cellStyle name="Normal 6 4 3" xfId="2338" xr:uid="{00000000-0005-0000-0000-000060090000}"/>
    <cellStyle name="Normal 6 4 4" xfId="2339" xr:uid="{00000000-0005-0000-0000-000061090000}"/>
    <cellStyle name="Normal 6 5" xfId="2340" xr:uid="{00000000-0005-0000-0000-000062090000}"/>
    <cellStyle name="Normal 6 5 2" xfId="2341" xr:uid="{00000000-0005-0000-0000-000063090000}"/>
    <cellStyle name="Normal 6 5 3" xfId="2342" xr:uid="{00000000-0005-0000-0000-000064090000}"/>
    <cellStyle name="Normal 6 5 4" xfId="2343" xr:uid="{00000000-0005-0000-0000-000065090000}"/>
    <cellStyle name="Normal 6 6" xfId="2344" xr:uid="{00000000-0005-0000-0000-000066090000}"/>
    <cellStyle name="Normal 6 6 2" xfId="2345" xr:uid="{00000000-0005-0000-0000-000067090000}"/>
    <cellStyle name="Normal 6 6 3" xfId="2346" xr:uid="{00000000-0005-0000-0000-000068090000}"/>
    <cellStyle name="Normal 6 6 4" xfId="2347" xr:uid="{00000000-0005-0000-0000-000069090000}"/>
    <cellStyle name="Normal 6 7" xfId="2348" xr:uid="{00000000-0005-0000-0000-00006A090000}"/>
    <cellStyle name="Normal 6 7 2" xfId="2349" xr:uid="{00000000-0005-0000-0000-00006B090000}"/>
    <cellStyle name="Normal 6 7 3" xfId="2350" xr:uid="{00000000-0005-0000-0000-00006C090000}"/>
    <cellStyle name="Normal 6 7 4" xfId="2351" xr:uid="{00000000-0005-0000-0000-00006D090000}"/>
    <cellStyle name="Normal 6 8" xfId="2352" xr:uid="{00000000-0005-0000-0000-00006E090000}"/>
    <cellStyle name="Normal 6 8 2" xfId="2353" xr:uid="{00000000-0005-0000-0000-00006F090000}"/>
    <cellStyle name="Normal 6 8 3" xfId="2354" xr:uid="{00000000-0005-0000-0000-000070090000}"/>
    <cellStyle name="Normal 6 8 4" xfId="2355" xr:uid="{00000000-0005-0000-0000-000071090000}"/>
    <cellStyle name="Normal 6 9" xfId="2356" xr:uid="{00000000-0005-0000-0000-000072090000}"/>
    <cellStyle name="Normal 6 9 2" xfId="2357" xr:uid="{00000000-0005-0000-0000-000073090000}"/>
    <cellStyle name="Normal 6 9 3" xfId="2358" xr:uid="{00000000-0005-0000-0000-000074090000}"/>
    <cellStyle name="Normal 6 9 4" xfId="2359" xr:uid="{00000000-0005-0000-0000-000075090000}"/>
    <cellStyle name="Normal 7" xfId="2360" xr:uid="{00000000-0005-0000-0000-000076090000}"/>
    <cellStyle name="Normal 7 10" xfId="2361" xr:uid="{00000000-0005-0000-0000-000077090000}"/>
    <cellStyle name="Normal 7 10 2" xfId="2362" xr:uid="{00000000-0005-0000-0000-000078090000}"/>
    <cellStyle name="Normal 7 10 3" xfId="2363" xr:uid="{00000000-0005-0000-0000-000079090000}"/>
    <cellStyle name="Normal 7 10 4" xfId="2364" xr:uid="{00000000-0005-0000-0000-00007A090000}"/>
    <cellStyle name="Normal 7 11" xfId="2365" xr:uid="{00000000-0005-0000-0000-00007B090000}"/>
    <cellStyle name="Normal 7 11 2" xfId="2366" xr:uid="{00000000-0005-0000-0000-00007C090000}"/>
    <cellStyle name="Normal 7 11 3" xfId="2367" xr:uid="{00000000-0005-0000-0000-00007D090000}"/>
    <cellStyle name="Normal 7 11 4" xfId="2368" xr:uid="{00000000-0005-0000-0000-00007E090000}"/>
    <cellStyle name="Normal 7 12" xfId="2369" xr:uid="{00000000-0005-0000-0000-00007F090000}"/>
    <cellStyle name="Normal 7 12 2" xfId="2370" xr:uid="{00000000-0005-0000-0000-000080090000}"/>
    <cellStyle name="Normal 7 12 3" xfId="2371" xr:uid="{00000000-0005-0000-0000-000081090000}"/>
    <cellStyle name="Normal 7 12 4" xfId="2372" xr:uid="{00000000-0005-0000-0000-000082090000}"/>
    <cellStyle name="Normal 7 13" xfId="2373" xr:uid="{00000000-0005-0000-0000-000083090000}"/>
    <cellStyle name="Normal 7 13 2" xfId="2374" xr:uid="{00000000-0005-0000-0000-000084090000}"/>
    <cellStyle name="Normal 7 13 3" xfId="2375" xr:uid="{00000000-0005-0000-0000-000085090000}"/>
    <cellStyle name="Normal 7 13 4" xfId="2376" xr:uid="{00000000-0005-0000-0000-000086090000}"/>
    <cellStyle name="Normal 7 14" xfId="2377" xr:uid="{00000000-0005-0000-0000-000087090000}"/>
    <cellStyle name="Normal 7 14 2" xfId="2378" xr:uid="{00000000-0005-0000-0000-000088090000}"/>
    <cellStyle name="Normal 7 14 3" xfId="2379" xr:uid="{00000000-0005-0000-0000-000089090000}"/>
    <cellStyle name="Normal 7 14 4" xfId="2380" xr:uid="{00000000-0005-0000-0000-00008A090000}"/>
    <cellStyle name="Normal 7 15" xfId="2381" xr:uid="{00000000-0005-0000-0000-00008B090000}"/>
    <cellStyle name="Normal 7 15 2" xfId="2382" xr:uid="{00000000-0005-0000-0000-00008C090000}"/>
    <cellStyle name="Normal 7 15 3" xfId="2383" xr:uid="{00000000-0005-0000-0000-00008D090000}"/>
    <cellStyle name="Normal 7 15 4" xfId="2384" xr:uid="{00000000-0005-0000-0000-00008E090000}"/>
    <cellStyle name="Normal 7 16" xfId="2385" xr:uid="{00000000-0005-0000-0000-00008F090000}"/>
    <cellStyle name="Normal 7 16 2" xfId="2386" xr:uid="{00000000-0005-0000-0000-000090090000}"/>
    <cellStyle name="Normal 7 16 3" xfId="2387" xr:uid="{00000000-0005-0000-0000-000091090000}"/>
    <cellStyle name="Normal 7 16 4" xfId="2388" xr:uid="{00000000-0005-0000-0000-000092090000}"/>
    <cellStyle name="Normal 7 17" xfId="2389" xr:uid="{00000000-0005-0000-0000-000093090000}"/>
    <cellStyle name="Normal 7 17 2" xfId="2390" xr:uid="{00000000-0005-0000-0000-000094090000}"/>
    <cellStyle name="Normal 7 17 3" xfId="2391" xr:uid="{00000000-0005-0000-0000-000095090000}"/>
    <cellStyle name="Normal 7 17 4" xfId="2392" xr:uid="{00000000-0005-0000-0000-000096090000}"/>
    <cellStyle name="Normal 7 18" xfId="2393" xr:uid="{00000000-0005-0000-0000-000097090000}"/>
    <cellStyle name="Normal 7 18 2" xfId="2394" xr:uid="{00000000-0005-0000-0000-000098090000}"/>
    <cellStyle name="Normal 7 18 3" xfId="2395" xr:uid="{00000000-0005-0000-0000-000099090000}"/>
    <cellStyle name="Normal 7 18 4" xfId="2396" xr:uid="{00000000-0005-0000-0000-00009A090000}"/>
    <cellStyle name="Normal 7 19" xfId="2397" xr:uid="{00000000-0005-0000-0000-00009B090000}"/>
    <cellStyle name="Normal 7 19 2" xfId="2398" xr:uid="{00000000-0005-0000-0000-00009C090000}"/>
    <cellStyle name="Normal 7 19 3" xfId="2399" xr:uid="{00000000-0005-0000-0000-00009D090000}"/>
    <cellStyle name="Normal 7 19 4" xfId="2400" xr:uid="{00000000-0005-0000-0000-00009E090000}"/>
    <cellStyle name="Normal 7 2" xfId="2401" xr:uid="{00000000-0005-0000-0000-00009F090000}"/>
    <cellStyle name="Normal 7 2 2" xfId="2402" xr:uid="{00000000-0005-0000-0000-0000A0090000}"/>
    <cellStyle name="Normal 7 2 3" xfId="2403" xr:uid="{00000000-0005-0000-0000-0000A1090000}"/>
    <cellStyle name="Normal 7 2 4" xfId="2404" xr:uid="{00000000-0005-0000-0000-0000A2090000}"/>
    <cellStyle name="Normal 7 20" xfId="2405" xr:uid="{00000000-0005-0000-0000-0000A3090000}"/>
    <cellStyle name="Normal 7 20 2" xfId="2406" xr:uid="{00000000-0005-0000-0000-0000A4090000}"/>
    <cellStyle name="Normal 7 20 3" xfId="2407" xr:uid="{00000000-0005-0000-0000-0000A5090000}"/>
    <cellStyle name="Normal 7 20 4" xfId="2408" xr:uid="{00000000-0005-0000-0000-0000A6090000}"/>
    <cellStyle name="Normal 7 21" xfId="2409" xr:uid="{00000000-0005-0000-0000-0000A7090000}"/>
    <cellStyle name="Normal 7 21 2" xfId="2410" xr:uid="{00000000-0005-0000-0000-0000A8090000}"/>
    <cellStyle name="Normal 7 21 3" xfId="2411" xr:uid="{00000000-0005-0000-0000-0000A9090000}"/>
    <cellStyle name="Normal 7 21 4" xfId="2412" xr:uid="{00000000-0005-0000-0000-0000AA090000}"/>
    <cellStyle name="Normal 7 22" xfId="2413" xr:uid="{00000000-0005-0000-0000-0000AB090000}"/>
    <cellStyle name="Normal 7 23" xfId="2414" xr:uid="{00000000-0005-0000-0000-0000AC090000}"/>
    <cellStyle name="Normal 7 24" xfId="2415" xr:uid="{00000000-0005-0000-0000-0000AD090000}"/>
    <cellStyle name="Normal 7 3" xfId="2416" xr:uid="{00000000-0005-0000-0000-0000AE090000}"/>
    <cellStyle name="Normal 7 3 2" xfId="2417" xr:uid="{00000000-0005-0000-0000-0000AF090000}"/>
    <cellStyle name="Normal 7 3 3" xfId="2418" xr:uid="{00000000-0005-0000-0000-0000B0090000}"/>
    <cellStyle name="Normal 7 3 4" xfId="2419" xr:uid="{00000000-0005-0000-0000-0000B1090000}"/>
    <cellStyle name="Normal 7 4" xfId="2420" xr:uid="{00000000-0005-0000-0000-0000B2090000}"/>
    <cellStyle name="Normal 7 4 2" xfId="2421" xr:uid="{00000000-0005-0000-0000-0000B3090000}"/>
    <cellStyle name="Normal 7 4 3" xfId="2422" xr:uid="{00000000-0005-0000-0000-0000B4090000}"/>
    <cellStyle name="Normal 7 4 4" xfId="2423" xr:uid="{00000000-0005-0000-0000-0000B5090000}"/>
    <cellStyle name="Normal 7 5" xfId="2424" xr:uid="{00000000-0005-0000-0000-0000B6090000}"/>
    <cellStyle name="Normal 7 5 2" xfId="2425" xr:uid="{00000000-0005-0000-0000-0000B7090000}"/>
    <cellStyle name="Normal 7 5 3" xfId="2426" xr:uid="{00000000-0005-0000-0000-0000B8090000}"/>
    <cellStyle name="Normal 7 5 4" xfId="2427" xr:uid="{00000000-0005-0000-0000-0000B9090000}"/>
    <cellStyle name="Normal 7 6" xfId="2428" xr:uid="{00000000-0005-0000-0000-0000BA090000}"/>
    <cellStyle name="Normal 7 6 2" xfId="2429" xr:uid="{00000000-0005-0000-0000-0000BB090000}"/>
    <cellStyle name="Normal 7 6 3" xfId="2430" xr:uid="{00000000-0005-0000-0000-0000BC090000}"/>
    <cellStyle name="Normal 7 6 4" xfId="2431" xr:uid="{00000000-0005-0000-0000-0000BD090000}"/>
    <cellStyle name="Normal 7 7" xfId="2432" xr:uid="{00000000-0005-0000-0000-0000BE090000}"/>
    <cellStyle name="Normal 7 7 2" xfId="2433" xr:uid="{00000000-0005-0000-0000-0000BF090000}"/>
    <cellStyle name="Normal 7 7 3" xfId="2434" xr:uid="{00000000-0005-0000-0000-0000C0090000}"/>
    <cellStyle name="Normal 7 7 4" xfId="2435" xr:uid="{00000000-0005-0000-0000-0000C1090000}"/>
    <cellStyle name="Normal 7 8" xfId="2436" xr:uid="{00000000-0005-0000-0000-0000C2090000}"/>
    <cellStyle name="Normal 7 8 2" xfId="2437" xr:uid="{00000000-0005-0000-0000-0000C3090000}"/>
    <cellStyle name="Normal 7 8 3" xfId="2438" xr:uid="{00000000-0005-0000-0000-0000C4090000}"/>
    <cellStyle name="Normal 7 8 4" xfId="2439" xr:uid="{00000000-0005-0000-0000-0000C5090000}"/>
    <cellStyle name="Normal 7 9" xfId="2440" xr:uid="{00000000-0005-0000-0000-0000C6090000}"/>
    <cellStyle name="Normal 7 9 2" xfId="2441" xr:uid="{00000000-0005-0000-0000-0000C7090000}"/>
    <cellStyle name="Normal 7 9 3" xfId="2442" xr:uid="{00000000-0005-0000-0000-0000C8090000}"/>
    <cellStyle name="Normal 7 9 4" xfId="2443" xr:uid="{00000000-0005-0000-0000-0000C9090000}"/>
    <cellStyle name="Normal 8" xfId="2444" xr:uid="{00000000-0005-0000-0000-0000CA090000}"/>
    <cellStyle name="Normal 8 10" xfId="2445" xr:uid="{00000000-0005-0000-0000-0000CB090000}"/>
    <cellStyle name="Normal 8 10 2" xfId="2446" xr:uid="{00000000-0005-0000-0000-0000CC090000}"/>
    <cellStyle name="Normal 8 10 3" xfId="2447" xr:uid="{00000000-0005-0000-0000-0000CD090000}"/>
    <cellStyle name="Normal 8 10 4" xfId="2448" xr:uid="{00000000-0005-0000-0000-0000CE090000}"/>
    <cellStyle name="Normal 8 11" xfId="2449" xr:uid="{00000000-0005-0000-0000-0000CF090000}"/>
    <cellStyle name="Normal 8 11 2" xfId="2450" xr:uid="{00000000-0005-0000-0000-0000D0090000}"/>
    <cellStyle name="Normal 8 11 3" xfId="2451" xr:uid="{00000000-0005-0000-0000-0000D1090000}"/>
    <cellStyle name="Normal 8 11 4" xfId="2452" xr:uid="{00000000-0005-0000-0000-0000D2090000}"/>
    <cellStyle name="Normal 8 12" xfId="2453" xr:uid="{00000000-0005-0000-0000-0000D3090000}"/>
    <cellStyle name="Normal 8 12 2" xfId="2454" xr:uid="{00000000-0005-0000-0000-0000D4090000}"/>
    <cellStyle name="Normal 8 12 3" xfId="2455" xr:uid="{00000000-0005-0000-0000-0000D5090000}"/>
    <cellStyle name="Normal 8 12 4" xfId="2456" xr:uid="{00000000-0005-0000-0000-0000D6090000}"/>
    <cellStyle name="Normal 8 13" xfId="2457" xr:uid="{00000000-0005-0000-0000-0000D7090000}"/>
    <cellStyle name="Normal 8 13 2" xfId="2458" xr:uid="{00000000-0005-0000-0000-0000D8090000}"/>
    <cellStyle name="Normal 8 13 3" xfId="2459" xr:uid="{00000000-0005-0000-0000-0000D9090000}"/>
    <cellStyle name="Normal 8 13 4" xfId="2460" xr:uid="{00000000-0005-0000-0000-0000DA090000}"/>
    <cellStyle name="Normal 8 14" xfId="2461" xr:uid="{00000000-0005-0000-0000-0000DB090000}"/>
    <cellStyle name="Normal 8 14 2" xfId="2462" xr:uid="{00000000-0005-0000-0000-0000DC090000}"/>
    <cellStyle name="Normal 8 14 3" xfId="2463" xr:uid="{00000000-0005-0000-0000-0000DD090000}"/>
    <cellStyle name="Normal 8 14 4" xfId="2464" xr:uid="{00000000-0005-0000-0000-0000DE090000}"/>
    <cellStyle name="Normal 8 15" xfId="2465" xr:uid="{00000000-0005-0000-0000-0000DF090000}"/>
    <cellStyle name="Normal 8 15 2" xfId="2466" xr:uid="{00000000-0005-0000-0000-0000E0090000}"/>
    <cellStyle name="Normal 8 15 3" xfId="2467" xr:uid="{00000000-0005-0000-0000-0000E1090000}"/>
    <cellStyle name="Normal 8 15 4" xfId="2468" xr:uid="{00000000-0005-0000-0000-0000E2090000}"/>
    <cellStyle name="Normal 8 16" xfId="2469" xr:uid="{00000000-0005-0000-0000-0000E3090000}"/>
    <cellStyle name="Normal 8 16 2" xfId="2470" xr:uid="{00000000-0005-0000-0000-0000E4090000}"/>
    <cellStyle name="Normal 8 16 3" xfId="2471" xr:uid="{00000000-0005-0000-0000-0000E5090000}"/>
    <cellStyle name="Normal 8 16 4" xfId="2472" xr:uid="{00000000-0005-0000-0000-0000E6090000}"/>
    <cellStyle name="Normal 8 17" xfId="2473" xr:uid="{00000000-0005-0000-0000-0000E7090000}"/>
    <cellStyle name="Normal 8 17 2" xfId="2474" xr:uid="{00000000-0005-0000-0000-0000E8090000}"/>
    <cellStyle name="Normal 8 17 3" xfId="2475" xr:uid="{00000000-0005-0000-0000-0000E9090000}"/>
    <cellStyle name="Normal 8 17 4" xfId="2476" xr:uid="{00000000-0005-0000-0000-0000EA090000}"/>
    <cellStyle name="Normal 8 18" xfId="2477" xr:uid="{00000000-0005-0000-0000-0000EB090000}"/>
    <cellStyle name="Normal 8 18 2" xfId="2478" xr:uid="{00000000-0005-0000-0000-0000EC090000}"/>
    <cellStyle name="Normal 8 18 3" xfId="2479" xr:uid="{00000000-0005-0000-0000-0000ED090000}"/>
    <cellStyle name="Normal 8 18 4" xfId="2480" xr:uid="{00000000-0005-0000-0000-0000EE090000}"/>
    <cellStyle name="Normal 8 19" xfId="2481" xr:uid="{00000000-0005-0000-0000-0000EF090000}"/>
    <cellStyle name="Normal 8 19 2" xfId="2482" xr:uid="{00000000-0005-0000-0000-0000F0090000}"/>
    <cellStyle name="Normal 8 19 3" xfId="2483" xr:uid="{00000000-0005-0000-0000-0000F1090000}"/>
    <cellStyle name="Normal 8 19 4" xfId="2484" xr:uid="{00000000-0005-0000-0000-0000F2090000}"/>
    <cellStyle name="Normal 8 2" xfId="2485" xr:uid="{00000000-0005-0000-0000-0000F3090000}"/>
    <cellStyle name="Normal 8 2 2" xfId="2486" xr:uid="{00000000-0005-0000-0000-0000F4090000}"/>
    <cellStyle name="Normal 8 2 3" xfId="2487" xr:uid="{00000000-0005-0000-0000-0000F5090000}"/>
    <cellStyle name="Normal 8 2 4" xfId="2488" xr:uid="{00000000-0005-0000-0000-0000F6090000}"/>
    <cellStyle name="Normal 8 20" xfId="2489" xr:uid="{00000000-0005-0000-0000-0000F7090000}"/>
    <cellStyle name="Normal 8 20 2" xfId="2490" xr:uid="{00000000-0005-0000-0000-0000F8090000}"/>
    <cellStyle name="Normal 8 20 3" xfId="2491" xr:uid="{00000000-0005-0000-0000-0000F9090000}"/>
    <cellStyle name="Normal 8 20 4" xfId="2492" xr:uid="{00000000-0005-0000-0000-0000FA090000}"/>
    <cellStyle name="Normal 8 21" xfId="2493" xr:uid="{00000000-0005-0000-0000-0000FB090000}"/>
    <cellStyle name="Normal 8 21 2" xfId="2494" xr:uid="{00000000-0005-0000-0000-0000FC090000}"/>
    <cellStyle name="Normal 8 21 3" xfId="2495" xr:uid="{00000000-0005-0000-0000-0000FD090000}"/>
    <cellStyle name="Normal 8 21 4" xfId="2496" xr:uid="{00000000-0005-0000-0000-0000FE090000}"/>
    <cellStyle name="Normal 8 22" xfId="2497" xr:uid="{00000000-0005-0000-0000-0000FF090000}"/>
    <cellStyle name="Normal 8 23" xfId="2498" xr:uid="{00000000-0005-0000-0000-0000000A0000}"/>
    <cellStyle name="Normal 8 24" xfId="2499" xr:uid="{00000000-0005-0000-0000-0000010A0000}"/>
    <cellStyle name="Normal 8 3" xfId="2500" xr:uid="{00000000-0005-0000-0000-0000020A0000}"/>
    <cellStyle name="Normal 8 3 2" xfId="2501" xr:uid="{00000000-0005-0000-0000-0000030A0000}"/>
    <cellStyle name="Normal 8 3 3" xfId="2502" xr:uid="{00000000-0005-0000-0000-0000040A0000}"/>
    <cellStyle name="Normal 8 3 4" xfId="2503" xr:uid="{00000000-0005-0000-0000-0000050A0000}"/>
    <cellStyle name="Normal 8 4" xfId="2504" xr:uid="{00000000-0005-0000-0000-0000060A0000}"/>
    <cellStyle name="Normal 8 4 2" xfId="2505" xr:uid="{00000000-0005-0000-0000-0000070A0000}"/>
    <cellStyle name="Normal 8 4 3" xfId="2506" xr:uid="{00000000-0005-0000-0000-0000080A0000}"/>
    <cellStyle name="Normal 8 4 4" xfId="2507" xr:uid="{00000000-0005-0000-0000-0000090A0000}"/>
    <cellStyle name="Normal 8 5" xfId="2508" xr:uid="{00000000-0005-0000-0000-00000A0A0000}"/>
    <cellStyle name="Normal 8 5 2" xfId="2509" xr:uid="{00000000-0005-0000-0000-00000B0A0000}"/>
    <cellStyle name="Normal 8 5 3" xfId="2510" xr:uid="{00000000-0005-0000-0000-00000C0A0000}"/>
    <cellStyle name="Normal 8 5 4" xfId="2511" xr:uid="{00000000-0005-0000-0000-00000D0A0000}"/>
    <cellStyle name="Normal 8 6" xfId="2512" xr:uid="{00000000-0005-0000-0000-00000E0A0000}"/>
    <cellStyle name="Normal 8 6 2" xfId="2513" xr:uid="{00000000-0005-0000-0000-00000F0A0000}"/>
    <cellStyle name="Normal 8 6 3" xfId="2514" xr:uid="{00000000-0005-0000-0000-0000100A0000}"/>
    <cellStyle name="Normal 8 6 4" xfId="2515" xr:uid="{00000000-0005-0000-0000-0000110A0000}"/>
    <cellStyle name="Normal 8 7" xfId="2516" xr:uid="{00000000-0005-0000-0000-0000120A0000}"/>
    <cellStyle name="Normal 8 7 2" xfId="2517" xr:uid="{00000000-0005-0000-0000-0000130A0000}"/>
    <cellStyle name="Normal 8 7 3" xfId="2518" xr:uid="{00000000-0005-0000-0000-0000140A0000}"/>
    <cellStyle name="Normal 8 7 4" xfId="2519" xr:uid="{00000000-0005-0000-0000-0000150A0000}"/>
    <cellStyle name="Normal 8 8" xfId="2520" xr:uid="{00000000-0005-0000-0000-0000160A0000}"/>
    <cellStyle name="Normal 8 8 2" xfId="2521" xr:uid="{00000000-0005-0000-0000-0000170A0000}"/>
    <cellStyle name="Normal 8 8 3" xfId="2522" xr:uid="{00000000-0005-0000-0000-0000180A0000}"/>
    <cellStyle name="Normal 8 8 4" xfId="2523" xr:uid="{00000000-0005-0000-0000-0000190A0000}"/>
    <cellStyle name="Normal 8 9" xfId="2524" xr:uid="{00000000-0005-0000-0000-00001A0A0000}"/>
    <cellStyle name="Normal 8 9 2" xfId="2525" xr:uid="{00000000-0005-0000-0000-00001B0A0000}"/>
    <cellStyle name="Normal 8 9 3" xfId="2526" xr:uid="{00000000-0005-0000-0000-00001C0A0000}"/>
    <cellStyle name="Normal 8 9 4" xfId="2527" xr:uid="{00000000-0005-0000-0000-00001D0A0000}"/>
    <cellStyle name="Normal 9" xfId="2528" xr:uid="{00000000-0005-0000-0000-00001E0A0000}"/>
    <cellStyle name="Note 10" xfId="2529" xr:uid="{00000000-0005-0000-0000-00001F0A0000}"/>
    <cellStyle name="Note 10 2" xfId="2530" xr:uid="{00000000-0005-0000-0000-0000200A0000}"/>
    <cellStyle name="Note 10 3" xfId="2531" xr:uid="{00000000-0005-0000-0000-0000210A0000}"/>
    <cellStyle name="Note 10 4" xfId="2532" xr:uid="{00000000-0005-0000-0000-0000220A0000}"/>
    <cellStyle name="Note 11" xfId="2533" xr:uid="{00000000-0005-0000-0000-0000230A0000}"/>
    <cellStyle name="Note 11 2" xfId="2534" xr:uid="{00000000-0005-0000-0000-0000240A0000}"/>
    <cellStyle name="Note 11 3" xfId="2535" xr:uid="{00000000-0005-0000-0000-0000250A0000}"/>
    <cellStyle name="Note 11 4" xfId="2536" xr:uid="{00000000-0005-0000-0000-0000260A0000}"/>
    <cellStyle name="Note 12" xfId="2537" xr:uid="{00000000-0005-0000-0000-0000270A0000}"/>
    <cellStyle name="Note 12 2" xfId="2538" xr:uid="{00000000-0005-0000-0000-0000280A0000}"/>
    <cellStyle name="Note 12 3" xfId="2539" xr:uid="{00000000-0005-0000-0000-0000290A0000}"/>
    <cellStyle name="Note 12 4" xfId="2540" xr:uid="{00000000-0005-0000-0000-00002A0A0000}"/>
    <cellStyle name="Note 13" xfId="2541" xr:uid="{00000000-0005-0000-0000-00002B0A0000}"/>
    <cellStyle name="Note 13 2" xfId="2542" xr:uid="{00000000-0005-0000-0000-00002C0A0000}"/>
    <cellStyle name="Note 13 3" xfId="2543" xr:uid="{00000000-0005-0000-0000-00002D0A0000}"/>
    <cellStyle name="Note 13 4" xfId="2544" xr:uid="{00000000-0005-0000-0000-00002E0A0000}"/>
    <cellStyle name="Note 14" xfId="2545" xr:uid="{00000000-0005-0000-0000-00002F0A0000}"/>
    <cellStyle name="Note 14 2" xfId="2546" xr:uid="{00000000-0005-0000-0000-0000300A0000}"/>
    <cellStyle name="Note 14 3" xfId="2547" xr:uid="{00000000-0005-0000-0000-0000310A0000}"/>
    <cellStyle name="Note 14 4" xfId="2548" xr:uid="{00000000-0005-0000-0000-0000320A0000}"/>
    <cellStyle name="Note 15" xfId="2549" xr:uid="{00000000-0005-0000-0000-0000330A0000}"/>
    <cellStyle name="Note 16" xfId="2550" xr:uid="{00000000-0005-0000-0000-0000340A0000}"/>
    <cellStyle name="Note 17" xfId="2551" xr:uid="{00000000-0005-0000-0000-0000350A0000}"/>
    <cellStyle name="Note 2" xfId="2552" xr:uid="{00000000-0005-0000-0000-0000360A0000}"/>
    <cellStyle name="Note 2 2" xfId="2553" xr:uid="{00000000-0005-0000-0000-0000370A0000}"/>
    <cellStyle name="Note 2 3" xfId="2554" xr:uid="{00000000-0005-0000-0000-0000380A0000}"/>
    <cellStyle name="Note 2 4" xfId="2555" xr:uid="{00000000-0005-0000-0000-0000390A0000}"/>
    <cellStyle name="Note 3" xfId="2556" xr:uid="{00000000-0005-0000-0000-00003A0A0000}"/>
    <cellStyle name="Note 3 2" xfId="2557" xr:uid="{00000000-0005-0000-0000-00003B0A0000}"/>
    <cellStyle name="Note 3 3" xfId="2558" xr:uid="{00000000-0005-0000-0000-00003C0A0000}"/>
    <cellStyle name="Note 3 4" xfId="2559" xr:uid="{00000000-0005-0000-0000-00003D0A0000}"/>
    <cellStyle name="Note 4" xfId="2560" xr:uid="{00000000-0005-0000-0000-00003E0A0000}"/>
    <cellStyle name="Note 4 2" xfId="2561" xr:uid="{00000000-0005-0000-0000-00003F0A0000}"/>
    <cellStyle name="Note 4 3" xfId="2562" xr:uid="{00000000-0005-0000-0000-0000400A0000}"/>
    <cellStyle name="Note 4 4" xfId="2563" xr:uid="{00000000-0005-0000-0000-0000410A0000}"/>
    <cellStyle name="Note 5" xfId="2564" xr:uid="{00000000-0005-0000-0000-0000420A0000}"/>
    <cellStyle name="Note 5 2" xfId="2565" xr:uid="{00000000-0005-0000-0000-0000430A0000}"/>
    <cellStyle name="Note 5 3" xfId="2566" xr:uid="{00000000-0005-0000-0000-0000440A0000}"/>
    <cellStyle name="Note 5 4" xfId="2567" xr:uid="{00000000-0005-0000-0000-0000450A0000}"/>
    <cellStyle name="Note 6" xfId="2568" xr:uid="{00000000-0005-0000-0000-0000460A0000}"/>
    <cellStyle name="Note 6 2" xfId="2569" xr:uid="{00000000-0005-0000-0000-0000470A0000}"/>
    <cellStyle name="Note 6 3" xfId="2570" xr:uid="{00000000-0005-0000-0000-0000480A0000}"/>
    <cellStyle name="Note 6 4" xfId="2571" xr:uid="{00000000-0005-0000-0000-0000490A0000}"/>
    <cellStyle name="Note 7" xfId="2572" xr:uid="{00000000-0005-0000-0000-00004A0A0000}"/>
    <cellStyle name="Note 7 2" xfId="2573" xr:uid="{00000000-0005-0000-0000-00004B0A0000}"/>
    <cellStyle name="Note 7 3" xfId="2574" xr:uid="{00000000-0005-0000-0000-00004C0A0000}"/>
    <cellStyle name="Note 7 4" xfId="2575" xr:uid="{00000000-0005-0000-0000-00004D0A0000}"/>
    <cellStyle name="Note 8" xfId="2576" xr:uid="{00000000-0005-0000-0000-00004E0A0000}"/>
    <cellStyle name="Note 8 2" xfId="2577" xr:uid="{00000000-0005-0000-0000-00004F0A0000}"/>
    <cellStyle name="Note 8 3" xfId="2578" xr:uid="{00000000-0005-0000-0000-0000500A0000}"/>
    <cellStyle name="Note 8 4" xfId="2579" xr:uid="{00000000-0005-0000-0000-0000510A0000}"/>
    <cellStyle name="Note 9" xfId="2580" xr:uid="{00000000-0005-0000-0000-0000520A0000}"/>
    <cellStyle name="Note 9 2" xfId="2581" xr:uid="{00000000-0005-0000-0000-0000530A0000}"/>
    <cellStyle name="Note 9 3" xfId="2582" xr:uid="{00000000-0005-0000-0000-0000540A0000}"/>
    <cellStyle name="Note 9 4" xfId="2583" xr:uid="{00000000-0005-0000-0000-0000550A0000}"/>
    <cellStyle name="Output 2" xfId="2589" xr:uid="{00000000-0005-0000-0000-0000560A0000}"/>
    <cellStyle name="Percent 2" xfId="2584" xr:uid="{00000000-0005-0000-0000-0000570A0000}"/>
    <cellStyle name="Percent 2 2" xfId="2621" xr:uid="{00000000-0005-0000-0000-0000580A0000}"/>
    <cellStyle name="Percent 3" xfId="2614" xr:uid="{00000000-0005-0000-0000-0000590A0000}"/>
    <cellStyle name="Percent 4" xfId="2631" xr:uid="{00000000-0005-0000-0000-00005A0A0000}"/>
    <cellStyle name="Percent 5" xfId="2652" xr:uid="{00000000-0005-0000-0000-00005B0A0000}"/>
    <cellStyle name="Percent 6" xfId="13" xr:uid="{00000000-0005-0000-0000-00005C0A0000}"/>
    <cellStyle name="Title" xfId="5" builtinId="15" customBuiltin="1"/>
    <cellStyle name="Total 2" xfId="2595" xr:uid="{00000000-0005-0000-0000-00005E0A0000}"/>
    <cellStyle name="Warning Text 2" xfId="2593" xr:uid="{00000000-0005-0000-0000-00005F0A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B92"/>
  <sheetViews>
    <sheetView tabSelected="1" zoomScale="85" zoomScaleNormal="85" workbookViewId="0">
      <pane xSplit="3" ySplit="10" topLeftCell="CX11" activePane="bottomRight" state="frozen"/>
      <selection pane="topRight" activeCell="D1" sqref="D1"/>
      <selection pane="bottomLeft" activeCell="A11" sqref="A11"/>
      <selection pane="bottomRight" activeCell="DN18" sqref="DN18"/>
    </sheetView>
  </sheetViews>
  <sheetFormatPr defaultColWidth="9.1796875" defaultRowHeight="14.5" x14ac:dyDescent="0.35"/>
  <cols>
    <col min="1" max="1" width="20.1796875" hidden="1" customWidth="1"/>
    <col min="2" max="2" width="28.54296875" customWidth="1"/>
    <col min="3" max="3" width="19.81640625" bestFit="1" customWidth="1"/>
    <col min="4" max="11" width="11.453125" hidden="1" customWidth="1"/>
    <col min="12" max="13" width="11.81640625" hidden="1" customWidth="1"/>
    <col min="14" max="16" width="12.453125" hidden="1" customWidth="1"/>
    <col min="17" max="18" width="11.81640625" hidden="1" customWidth="1"/>
    <col min="19" max="19" width="11.54296875" hidden="1" customWidth="1"/>
    <col min="20" max="20" width="11.81640625" hidden="1" customWidth="1"/>
    <col min="21" max="21" width="12.54296875" hidden="1" customWidth="1"/>
    <col min="22" max="28" width="13.1796875" hidden="1" customWidth="1"/>
    <col min="29" max="29" width="13.1796875" style="40" hidden="1" customWidth="1"/>
    <col min="30" max="32" width="13.1796875" hidden="1" customWidth="1"/>
    <col min="33" max="34" width="13.453125" hidden="1" customWidth="1"/>
    <col min="35" max="35" width="12.54296875" hidden="1" customWidth="1"/>
    <col min="36" max="36" width="13.1796875" hidden="1" customWidth="1"/>
    <col min="37" max="37" width="13.453125" hidden="1" customWidth="1"/>
    <col min="38" max="39" width="13.1796875" hidden="1" customWidth="1"/>
    <col min="40" max="40" width="13.453125" hidden="1" customWidth="1"/>
    <col min="41" max="42" width="13.1796875" hidden="1" customWidth="1"/>
    <col min="43" max="43" width="13.453125" hidden="1" customWidth="1"/>
    <col min="44" max="44" width="14.81640625" style="61" hidden="1" customWidth="1"/>
    <col min="45" max="45" width="13.81640625" hidden="1" customWidth="1"/>
    <col min="46" max="47" width="14.453125" hidden="1" customWidth="1"/>
    <col min="48" max="48" width="14.54296875" hidden="1" customWidth="1"/>
    <col min="49" max="52" width="14.453125" hidden="1" customWidth="1"/>
    <col min="53" max="53" width="14.453125" style="94" hidden="1" customWidth="1"/>
    <col min="54" max="54" width="14.453125" hidden="1" customWidth="1"/>
    <col min="55" max="55" width="14" style="61" hidden="1" customWidth="1"/>
    <col min="56" max="56" width="11.54296875" hidden="1" customWidth="1"/>
    <col min="57" max="57" width="13.453125" hidden="1" customWidth="1"/>
    <col min="58" max="58" width="12.54296875" hidden="1" customWidth="1"/>
    <col min="59" max="59" width="13.453125" style="61" hidden="1" customWidth="1"/>
    <col min="60" max="60" width="15.54296875" hidden="1" customWidth="1"/>
    <col min="61" max="61" width="13.453125" hidden="1" customWidth="1"/>
    <col min="62" max="62" width="14.453125" hidden="1" customWidth="1"/>
    <col min="63" max="63" width="13" hidden="1" customWidth="1"/>
    <col min="64" max="64" width="12.81640625" style="61" hidden="1" customWidth="1"/>
    <col min="65" max="65" width="13.453125" hidden="1" customWidth="1"/>
    <col min="66" max="66" width="14.1796875" style="61" hidden="1" customWidth="1"/>
    <col min="67" max="67" width="11.54296875" style="61" hidden="1" customWidth="1"/>
    <col min="68" max="68" width="11.54296875" hidden="1" customWidth="1"/>
    <col min="69" max="70" width="14.453125" hidden="1" customWidth="1"/>
    <col min="71" max="71" width="13.453125" hidden="1" customWidth="1"/>
    <col min="72" max="72" width="14.453125" hidden="1" customWidth="1"/>
    <col min="73" max="73" width="13.453125" hidden="1" customWidth="1"/>
    <col min="74" max="74" width="13.81640625" hidden="1" customWidth="1"/>
    <col min="75" max="75" width="12.54296875" style="61" hidden="1" customWidth="1"/>
    <col min="76" max="76" width="12.54296875" hidden="1" customWidth="1"/>
    <col min="77" max="77" width="12.81640625" hidden="1" customWidth="1"/>
    <col min="78" max="78" width="12.54296875" hidden="1" customWidth="1"/>
    <col min="79" max="79" width="12.54296875" style="130" hidden="1" customWidth="1"/>
    <col min="80" max="80" width="12.81640625" hidden="1" customWidth="1"/>
    <col min="81" max="81" width="16.453125" hidden="1" customWidth="1"/>
    <col min="82" max="82" width="12.54296875" hidden="1" customWidth="1"/>
    <col min="83" max="83" width="12.81640625" hidden="1" customWidth="1"/>
    <col min="84" max="85" width="13" hidden="1" customWidth="1"/>
    <col min="86" max="86" width="11.54296875" bestFit="1" customWidth="1"/>
    <col min="87" max="87" width="11.7265625" bestFit="1" customWidth="1"/>
    <col min="88" max="88" width="13.7265625" customWidth="1"/>
    <col min="89" max="89" width="14.26953125" customWidth="1"/>
    <col min="90" max="90" width="13" customWidth="1"/>
    <col min="91" max="91" width="15.1796875" customWidth="1"/>
    <col min="92" max="92" width="12.54296875" bestFit="1" customWidth="1"/>
    <col min="93" max="93" width="12.81640625" customWidth="1"/>
    <col min="94" max="94" width="12.1796875" bestFit="1" customWidth="1"/>
    <col min="95" max="95" width="12.54296875" bestFit="1" customWidth="1"/>
    <col min="96" max="97" width="13.1796875" customWidth="1"/>
    <col min="98" max="98" width="14.1796875" customWidth="1"/>
    <col min="99" max="99" width="12.453125" customWidth="1"/>
    <col min="100" max="100" width="13.54296875" customWidth="1"/>
    <col min="101" max="101" width="15.08984375" customWidth="1"/>
    <col min="102" max="102" width="16.08984375" bestFit="1" customWidth="1"/>
    <col min="103" max="103" width="11.453125" bestFit="1" customWidth="1"/>
    <col min="105" max="105" width="9.81640625" bestFit="1" customWidth="1"/>
    <col min="107" max="107" width="11.7265625" customWidth="1"/>
  </cols>
  <sheetData>
    <row r="1" spans="1:103" ht="15" thickBot="1" x14ac:dyDescent="0.4"/>
    <row r="2" spans="1:103" x14ac:dyDescent="0.35">
      <c r="A2" s="10" t="s">
        <v>0</v>
      </c>
      <c r="B2" s="11" t="s">
        <v>1</v>
      </c>
      <c r="C2" s="12" t="s">
        <v>2</v>
      </c>
    </row>
    <row r="3" spans="1:103" x14ac:dyDescent="0.35">
      <c r="A3" s="13" t="s">
        <v>3</v>
      </c>
      <c r="B3" s="14" t="s">
        <v>4</v>
      </c>
      <c r="C3" s="15" t="s">
        <v>5</v>
      </c>
      <c r="AL3" s="61"/>
    </row>
    <row r="4" spans="1:103" ht="15" thickBot="1" x14ac:dyDescent="0.4">
      <c r="A4" s="13" t="s">
        <v>6</v>
      </c>
      <c r="B4" t="s">
        <v>7</v>
      </c>
      <c r="C4" s="15" t="s">
        <v>8</v>
      </c>
      <c r="AL4" s="61"/>
      <c r="AM4" s="61"/>
    </row>
    <row r="5" spans="1:103" x14ac:dyDescent="0.35">
      <c r="A5" s="10" t="s">
        <v>9</v>
      </c>
      <c r="B5" s="16">
        <v>6</v>
      </c>
      <c r="C5" s="17" t="str">
        <f>"Scale = "&amp;IF(B5=0,"Unit",(IF(B5=3,"Thousand",(IF(B5=6,"Million",(IF(B5=9,"Billion")))))))</f>
        <v>Scale = Million</v>
      </c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AJ5" s="61"/>
      <c r="AL5" s="61"/>
      <c r="AM5" s="61"/>
    </row>
    <row r="6" spans="1:103" x14ac:dyDescent="0.35">
      <c r="A6" s="13" t="s">
        <v>10</v>
      </c>
      <c r="B6" t="s">
        <v>11</v>
      </c>
      <c r="C6" s="19" t="str">
        <f>"Frequency = "&amp;IF(B6="A","Annual",IF(B6="Q", "Quarterly", "Monthly"))</f>
        <v>Frequency = Monthly</v>
      </c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AL6" s="61"/>
      <c r="AM6" s="61"/>
    </row>
    <row r="7" spans="1:103" ht="15.75" customHeight="1" thickBot="1" x14ac:dyDescent="0.4">
      <c r="A7" s="20" t="s">
        <v>12</v>
      </c>
      <c r="B7" s="21" t="s">
        <v>13</v>
      </c>
      <c r="C7" s="22" t="s">
        <v>14</v>
      </c>
      <c r="AJ7" s="37"/>
      <c r="AL7" s="61"/>
      <c r="AM7" s="61"/>
      <c r="BM7" s="124"/>
      <c r="BW7" s="94"/>
    </row>
    <row r="8" spans="1:103" ht="15.5" x14ac:dyDescent="0.35">
      <c r="AM8" s="61"/>
      <c r="CA8" s="132"/>
    </row>
    <row r="9" spans="1:103" ht="15" thickBot="1" x14ac:dyDescent="0.4">
      <c r="AR9" s="9"/>
      <c r="BK9" s="61"/>
      <c r="BM9" s="61"/>
      <c r="BN9" s="124"/>
    </row>
    <row r="10" spans="1:103" ht="15" thickBot="1" x14ac:dyDescent="0.4">
      <c r="A10" s="23" t="s">
        <v>15</v>
      </c>
      <c r="B10" s="24" t="s">
        <v>16</v>
      </c>
      <c r="C10" s="24" t="s">
        <v>17</v>
      </c>
      <c r="D10" s="47" t="s">
        <v>91</v>
      </c>
      <c r="E10" s="48" t="s">
        <v>92</v>
      </c>
      <c r="F10" s="48" t="s">
        <v>93</v>
      </c>
      <c r="G10" s="48" t="s">
        <v>94</v>
      </c>
      <c r="H10" s="48" t="s">
        <v>95</v>
      </c>
      <c r="I10" s="48" t="s">
        <v>96</v>
      </c>
      <c r="J10" s="48" t="s">
        <v>97</v>
      </c>
      <c r="K10" s="48" t="s">
        <v>98</v>
      </c>
      <c r="L10" s="48" t="s">
        <v>99</v>
      </c>
      <c r="M10" s="48" t="s">
        <v>101</v>
      </c>
      <c r="N10" s="48" t="s">
        <v>102</v>
      </c>
      <c r="O10" s="72" t="s">
        <v>100</v>
      </c>
      <c r="P10" s="7" t="s">
        <v>18</v>
      </c>
      <c r="Q10" s="7" t="s">
        <v>19</v>
      </c>
      <c r="R10" s="7" t="s">
        <v>20</v>
      </c>
      <c r="S10" s="7" t="s">
        <v>21</v>
      </c>
      <c r="T10" s="7" t="s">
        <v>22</v>
      </c>
      <c r="U10" s="7" t="s">
        <v>23</v>
      </c>
      <c r="V10" s="7" t="s">
        <v>24</v>
      </c>
      <c r="W10" s="7" t="s">
        <v>25</v>
      </c>
      <c r="X10" s="7" t="s">
        <v>90</v>
      </c>
      <c r="Y10" s="7" t="s">
        <v>103</v>
      </c>
      <c r="Z10" s="7" t="s">
        <v>104</v>
      </c>
      <c r="AA10" s="7" t="s">
        <v>105</v>
      </c>
      <c r="AB10" s="7" t="s">
        <v>106</v>
      </c>
      <c r="AC10" s="7" t="s">
        <v>107</v>
      </c>
      <c r="AD10" s="7" t="s">
        <v>108</v>
      </c>
      <c r="AE10" s="7" t="s">
        <v>109</v>
      </c>
      <c r="AF10" s="7" t="s">
        <v>110</v>
      </c>
      <c r="AG10" s="7" t="s">
        <v>113</v>
      </c>
      <c r="AH10" s="7" t="s">
        <v>114</v>
      </c>
      <c r="AI10" s="7" t="s">
        <v>115</v>
      </c>
      <c r="AJ10" s="7" t="s">
        <v>116</v>
      </c>
      <c r="AK10" s="7" t="s">
        <v>117</v>
      </c>
      <c r="AL10" s="7" t="s">
        <v>118</v>
      </c>
      <c r="AM10" s="7" t="s">
        <v>119</v>
      </c>
      <c r="AN10" s="7" t="s">
        <v>120</v>
      </c>
      <c r="AO10" s="7" t="s">
        <v>121</v>
      </c>
      <c r="AP10" s="7" t="s">
        <v>122</v>
      </c>
      <c r="AQ10" s="7" t="s">
        <v>123</v>
      </c>
      <c r="AR10" s="7" t="s">
        <v>124</v>
      </c>
      <c r="AS10" s="79" t="s">
        <v>125</v>
      </c>
      <c r="AT10" s="79" t="s">
        <v>126</v>
      </c>
      <c r="AU10" s="79" t="s">
        <v>128</v>
      </c>
      <c r="AV10" s="79" t="s">
        <v>129</v>
      </c>
      <c r="AW10" s="79" t="s">
        <v>130</v>
      </c>
      <c r="AX10" s="79" t="s">
        <v>131</v>
      </c>
      <c r="AY10" s="79" t="s">
        <v>132</v>
      </c>
      <c r="AZ10" s="79" t="s">
        <v>133</v>
      </c>
      <c r="BA10" s="79" t="s">
        <v>134</v>
      </c>
      <c r="BB10" s="79" t="s">
        <v>135</v>
      </c>
      <c r="BC10" s="79" t="s">
        <v>136</v>
      </c>
      <c r="BD10" s="79" t="s">
        <v>137</v>
      </c>
      <c r="BE10" s="79" t="s">
        <v>138</v>
      </c>
      <c r="BF10" s="79" t="s">
        <v>139</v>
      </c>
      <c r="BG10" s="79" t="s">
        <v>140</v>
      </c>
      <c r="BH10" s="74" t="s">
        <v>141</v>
      </c>
      <c r="BI10" s="74" t="s">
        <v>142</v>
      </c>
      <c r="BJ10" s="74" t="s">
        <v>143</v>
      </c>
      <c r="BK10" s="74" t="s">
        <v>144</v>
      </c>
      <c r="BL10" s="74" t="s">
        <v>145</v>
      </c>
      <c r="BM10" s="74" t="s">
        <v>146</v>
      </c>
      <c r="BN10" s="74" t="s">
        <v>147</v>
      </c>
      <c r="BO10" s="74" t="s">
        <v>148</v>
      </c>
      <c r="BP10" s="74" t="s">
        <v>149</v>
      </c>
      <c r="BQ10" s="74" t="s">
        <v>150</v>
      </c>
      <c r="BR10" s="74" t="s">
        <v>151</v>
      </c>
      <c r="BS10" s="74" t="s">
        <v>152</v>
      </c>
      <c r="BT10" s="74" t="s">
        <v>153</v>
      </c>
      <c r="BU10" s="74" t="s">
        <v>154</v>
      </c>
      <c r="BV10" s="74" t="s">
        <v>155</v>
      </c>
      <c r="BW10" s="74" t="s">
        <v>156</v>
      </c>
      <c r="BX10" s="74" t="s">
        <v>157</v>
      </c>
      <c r="BY10" s="74" t="s">
        <v>158</v>
      </c>
      <c r="BZ10" s="74" t="s">
        <v>159</v>
      </c>
      <c r="CA10" s="74" t="s">
        <v>160</v>
      </c>
      <c r="CB10" s="74" t="s">
        <v>161</v>
      </c>
      <c r="CC10" s="74" t="s">
        <v>162</v>
      </c>
      <c r="CD10" s="74" t="s">
        <v>163</v>
      </c>
      <c r="CE10" s="74" t="s">
        <v>164</v>
      </c>
      <c r="CF10" s="74" t="s">
        <v>165</v>
      </c>
      <c r="CG10" s="74" t="s">
        <v>166</v>
      </c>
      <c r="CH10" s="74" t="s">
        <v>167</v>
      </c>
      <c r="CI10" s="74" t="s">
        <v>168</v>
      </c>
      <c r="CJ10" s="133" t="s">
        <v>169</v>
      </c>
      <c r="CK10" s="133" t="s">
        <v>170</v>
      </c>
      <c r="CL10" s="133" t="s">
        <v>171</v>
      </c>
      <c r="CM10" s="133" t="s">
        <v>172</v>
      </c>
      <c r="CN10" s="133" t="s">
        <v>173</v>
      </c>
      <c r="CO10" s="133" t="s">
        <v>174</v>
      </c>
      <c r="CP10" s="133" t="s">
        <v>175</v>
      </c>
      <c r="CQ10" s="133" t="s">
        <v>176</v>
      </c>
      <c r="CR10" s="133" t="s">
        <v>177</v>
      </c>
      <c r="CS10" s="133" t="s">
        <v>178</v>
      </c>
      <c r="CT10" s="133" t="s">
        <v>179</v>
      </c>
      <c r="CU10" s="133" t="s">
        <v>180</v>
      </c>
      <c r="CV10" s="133" t="s">
        <v>181</v>
      </c>
      <c r="CW10" s="133" t="s">
        <v>182</v>
      </c>
      <c r="CX10" s="133" t="s">
        <v>183</v>
      </c>
      <c r="CY10" s="133" t="s">
        <v>184</v>
      </c>
    </row>
    <row r="11" spans="1:103" x14ac:dyDescent="0.35">
      <c r="A11" s="25" t="s">
        <v>66</v>
      </c>
      <c r="B11" s="26" t="s">
        <v>26</v>
      </c>
      <c r="C11" s="27" t="s">
        <v>42</v>
      </c>
      <c r="D11" s="49">
        <f t="shared" ref="D11:AM11" si="0">D12+D23</f>
        <v>2044999.0393699999</v>
      </c>
      <c r="E11" s="50">
        <f t="shared" si="0"/>
        <v>2045740.43356</v>
      </c>
      <c r="F11" s="50">
        <f t="shared" si="0"/>
        <v>2027253.3304000001</v>
      </c>
      <c r="G11" s="50">
        <f t="shared" si="0"/>
        <v>2050110.1469599998</v>
      </c>
      <c r="H11" s="50">
        <f t="shared" si="0"/>
        <v>2073935.8466000003</v>
      </c>
      <c r="I11" s="50">
        <f t="shared" si="0"/>
        <v>2086726.8310200002</v>
      </c>
      <c r="J11" s="50">
        <f t="shared" si="0"/>
        <v>2090513.4261699999</v>
      </c>
      <c r="K11" s="50">
        <f t="shared" si="0"/>
        <v>2085757.5240000002</v>
      </c>
      <c r="L11" s="50">
        <f t="shared" si="0"/>
        <v>2102222.92</v>
      </c>
      <c r="M11" s="50">
        <f t="shared" si="0"/>
        <v>2106436.2229700005</v>
      </c>
      <c r="N11" s="50">
        <f t="shared" si="0"/>
        <v>2065378.73006</v>
      </c>
      <c r="O11" s="50">
        <f t="shared" si="0"/>
        <v>2068759.4533400002</v>
      </c>
      <c r="P11" s="63">
        <f t="shared" si="0"/>
        <v>2077027.1697300002</v>
      </c>
      <c r="Q11" s="63">
        <f t="shared" si="0"/>
        <v>2102462.0389400003</v>
      </c>
      <c r="R11" s="63">
        <f t="shared" si="0"/>
        <v>2116703.0140999998</v>
      </c>
      <c r="S11" s="63">
        <f t="shared" si="0"/>
        <v>2113412.0392800001</v>
      </c>
      <c r="T11" s="63">
        <f t="shared" si="0"/>
        <v>2142892.9464500002</v>
      </c>
      <c r="U11" s="56">
        <f t="shared" si="0"/>
        <v>2144641.40496</v>
      </c>
      <c r="V11" s="56">
        <f t="shared" si="0"/>
        <v>2148476.7612000001</v>
      </c>
      <c r="W11" s="56">
        <f t="shared" si="0"/>
        <v>2150644.1934599997</v>
      </c>
      <c r="X11" s="56">
        <f t="shared" si="0"/>
        <v>2150063.4176000003</v>
      </c>
      <c r="Y11" s="56">
        <f t="shared" si="0"/>
        <v>2148129.3281099997</v>
      </c>
      <c r="Z11" s="56">
        <f t="shared" si="0"/>
        <v>2154474.2799230004</v>
      </c>
      <c r="AA11" s="56">
        <f t="shared" si="0"/>
        <v>2158846.3501072</v>
      </c>
      <c r="AB11" s="56">
        <f t="shared" si="0"/>
        <v>2107892.8371700002</v>
      </c>
      <c r="AC11" s="56">
        <f t="shared" si="0"/>
        <v>2073167.69154</v>
      </c>
      <c r="AD11" s="56">
        <f t="shared" si="0"/>
        <v>2032176.3786000004</v>
      </c>
      <c r="AE11" s="56">
        <f t="shared" si="0"/>
        <v>2035960.1644699997</v>
      </c>
      <c r="AF11" s="56">
        <f t="shared" si="0"/>
        <v>2143857.4165600003</v>
      </c>
      <c r="AG11" s="56">
        <f t="shared" si="0"/>
        <v>2075640.3509999998</v>
      </c>
      <c r="AH11" s="56">
        <f t="shared" si="0"/>
        <v>2049903.9361999999</v>
      </c>
      <c r="AI11" s="56">
        <f t="shared" si="0"/>
        <v>2037041.1337799998</v>
      </c>
      <c r="AJ11" s="56">
        <f t="shared" si="0"/>
        <v>2023129.8211199995</v>
      </c>
      <c r="AK11" s="56">
        <f t="shared" si="0"/>
        <v>2033659.9411599999</v>
      </c>
      <c r="AL11" s="56">
        <f t="shared" si="0"/>
        <v>2044415.6169999996</v>
      </c>
      <c r="AM11" s="56">
        <f t="shared" si="0"/>
        <v>2028153.9279999998</v>
      </c>
      <c r="AN11" s="56">
        <v>2028300.5</v>
      </c>
      <c r="AO11" s="66">
        <v>2063116.9067500001</v>
      </c>
      <c r="AP11" s="67">
        <f>AP12+AP23</f>
        <v>2070741.0561200003</v>
      </c>
      <c r="AQ11" s="67">
        <f>AQ12+AQ23</f>
        <v>2079377.4871499999</v>
      </c>
      <c r="AR11" s="67">
        <v>2106974.0480999993</v>
      </c>
      <c r="AS11" s="66">
        <f t="shared" ref="AS11:BX11" si="1">AS12+AS23</f>
        <v>2080203.3887200002</v>
      </c>
      <c r="AT11" s="66">
        <f t="shared" si="1"/>
        <v>2019532.0836405098</v>
      </c>
      <c r="AU11" s="91">
        <f t="shared" si="1"/>
        <v>2017320.2291899999</v>
      </c>
      <c r="AV11" s="91">
        <f t="shared" si="1"/>
        <v>2021184.4500000002</v>
      </c>
      <c r="AW11" s="91">
        <f t="shared" si="1"/>
        <v>2104918.17</v>
      </c>
      <c r="AX11" s="91">
        <f t="shared" si="1"/>
        <v>2029489.73</v>
      </c>
      <c r="AY11" s="91">
        <f t="shared" si="1"/>
        <v>2004658.29</v>
      </c>
      <c r="AZ11" s="104">
        <f t="shared" si="1"/>
        <v>2093470.88</v>
      </c>
      <c r="BA11" s="104">
        <f t="shared" si="1"/>
        <v>2078488.27</v>
      </c>
      <c r="BB11" s="104">
        <f t="shared" si="1"/>
        <v>2050179.5499999998</v>
      </c>
      <c r="BC11" s="104">
        <f t="shared" si="1"/>
        <v>2072276.2399999998</v>
      </c>
      <c r="BD11" s="67">
        <f t="shared" si="1"/>
        <v>2079002.17</v>
      </c>
      <c r="BE11" s="66">
        <f t="shared" si="1"/>
        <v>1984635.85</v>
      </c>
      <c r="BF11" s="91">
        <f t="shared" si="1"/>
        <v>2036951.2999999998</v>
      </c>
      <c r="BG11" s="91">
        <f t="shared" si="1"/>
        <v>1998667.9100000001</v>
      </c>
      <c r="BH11" s="125">
        <f t="shared" si="1"/>
        <v>1970612.1099999999</v>
      </c>
      <c r="BI11" s="125">
        <f t="shared" si="1"/>
        <v>2044379.21</v>
      </c>
      <c r="BJ11" s="125">
        <f t="shared" si="1"/>
        <v>2005048.3399999999</v>
      </c>
      <c r="BK11" s="125">
        <f t="shared" si="1"/>
        <v>2008086.3</v>
      </c>
      <c r="BL11" s="125">
        <f t="shared" si="1"/>
        <v>2082554.42</v>
      </c>
      <c r="BM11" s="125">
        <f t="shared" si="1"/>
        <v>2089631.6499532</v>
      </c>
      <c r="BN11" s="125">
        <f t="shared" si="1"/>
        <v>2054365.25</v>
      </c>
      <c r="BO11" s="125">
        <f t="shared" si="1"/>
        <v>2128438.3800000004</v>
      </c>
      <c r="BP11" s="125">
        <f t="shared" si="1"/>
        <v>2136734.28192</v>
      </c>
      <c r="BQ11" s="125">
        <f t="shared" si="1"/>
        <v>2079464.21</v>
      </c>
      <c r="BR11" s="125">
        <f t="shared" si="1"/>
        <v>2081487.0300000003</v>
      </c>
      <c r="BS11" s="125">
        <f t="shared" si="1"/>
        <v>2124891.46</v>
      </c>
      <c r="BT11" s="125">
        <f t="shared" si="1"/>
        <v>2085985.19</v>
      </c>
      <c r="BU11" s="125">
        <f t="shared" si="1"/>
        <v>2142626.7799999998</v>
      </c>
      <c r="BV11" s="125">
        <f t="shared" si="1"/>
        <v>2170441.2400000002</v>
      </c>
      <c r="BW11" s="125">
        <f t="shared" si="1"/>
        <v>2152560.5304399999</v>
      </c>
      <c r="BX11" s="125">
        <f t="shared" si="1"/>
        <v>2234350.04</v>
      </c>
      <c r="BY11" s="125">
        <f t="shared" ref="BY11:CX11" si="2">BY12+BY23</f>
        <v>2169796.2000000002</v>
      </c>
      <c r="BZ11" s="125">
        <f t="shared" si="2"/>
        <v>2162476.14</v>
      </c>
      <c r="CA11" s="125">
        <f t="shared" si="2"/>
        <v>2221653.29</v>
      </c>
      <c r="CB11" s="125">
        <f t="shared" si="2"/>
        <v>2201202.38</v>
      </c>
      <c r="CC11" s="125">
        <f t="shared" si="2"/>
        <v>2153205.2011099998</v>
      </c>
      <c r="CD11" s="125">
        <f t="shared" si="2"/>
        <v>2233288.2218707302</v>
      </c>
      <c r="CE11" s="125">
        <f t="shared" si="2"/>
        <v>2249781.88</v>
      </c>
      <c r="CF11" s="125">
        <f t="shared" si="2"/>
        <v>2245360.6643200004</v>
      </c>
      <c r="CG11" s="125">
        <f t="shared" si="2"/>
        <v>2224940.9059600001</v>
      </c>
      <c r="CH11" s="125">
        <f t="shared" si="2"/>
        <v>2218507.31</v>
      </c>
      <c r="CI11" s="125">
        <f t="shared" si="2"/>
        <v>2200138.8089999999</v>
      </c>
      <c r="CJ11" s="134">
        <f t="shared" si="2"/>
        <v>2218911.4899519999</v>
      </c>
      <c r="CK11" s="134">
        <f t="shared" si="2"/>
        <v>2216792.87</v>
      </c>
      <c r="CL11" s="134">
        <f t="shared" si="2"/>
        <v>2192897.1846599998</v>
      </c>
      <c r="CM11" s="134">
        <f t="shared" si="2"/>
        <v>2215287.3804959999</v>
      </c>
      <c r="CN11" s="134">
        <f t="shared" si="2"/>
        <v>2211883.75</v>
      </c>
      <c r="CO11" s="134">
        <f t="shared" si="2"/>
        <v>2219801.7800000003</v>
      </c>
      <c r="CP11" s="134">
        <f t="shared" si="2"/>
        <v>2237314.8369999998</v>
      </c>
      <c r="CQ11" s="134">
        <f t="shared" si="2"/>
        <v>2242020.2459359998</v>
      </c>
      <c r="CR11" s="134">
        <f t="shared" si="2"/>
        <v>2216338.91</v>
      </c>
      <c r="CS11" s="134">
        <f t="shared" si="2"/>
        <v>2207465.4618100002</v>
      </c>
      <c r="CT11" s="134">
        <f t="shared" si="2"/>
        <v>2199599.5099999998</v>
      </c>
      <c r="CU11" s="134">
        <f t="shared" si="2"/>
        <v>2152387.7599999998</v>
      </c>
      <c r="CV11" s="134">
        <f t="shared" si="2"/>
        <v>2182608.5598600004</v>
      </c>
      <c r="CW11" s="134">
        <f t="shared" si="2"/>
        <v>2209429.48</v>
      </c>
      <c r="CX11" s="134">
        <f t="shared" si="2"/>
        <v>2198807.94</v>
      </c>
      <c r="CY11" s="134">
        <f t="shared" ref="CY11" si="3">CY12+CY23</f>
        <v>2186895.27</v>
      </c>
    </row>
    <row r="12" spans="1:103" x14ac:dyDescent="0.35">
      <c r="A12" s="25" t="s">
        <v>67</v>
      </c>
      <c r="B12" s="28" t="s">
        <v>27</v>
      </c>
      <c r="C12" s="27" t="s">
        <v>43</v>
      </c>
      <c r="D12" s="5">
        <f t="shared" ref="D12:O12" si="4">D13+D18</f>
        <v>1056208.28</v>
      </c>
      <c r="E12" s="3">
        <f t="shared" si="4"/>
        <v>1056703.58</v>
      </c>
      <c r="F12" s="3">
        <f t="shared" si="4"/>
        <v>1058106.01</v>
      </c>
      <c r="G12" s="3">
        <f t="shared" si="4"/>
        <v>857433.44</v>
      </c>
      <c r="H12" s="3">
        <f t="shared" si="4"/>
        <v>857433.44</v>
      </c>
      <c r="I12" s="3">
        <f t="shared" si="4"/>
        <v>858861.89999999991</v>
      </c>
      <c r="J12" s="3">
        <f t="shared" si="4"/>
        <v>859587.4800000001</v>
      </c>
      <c r="K12" s="3">
        <f t="shared" si="4"/>
        <v>859812.62000000011</v>
      </c>
      <c r="L12" s="3">
        <f t="shared" si="4"/>
        <v>860262.61000000022</v>
      </c>
      <c r="M12" s="3">
        <f t="shared" si="4"/>
        <v>860972.88000000012</v>
      </c>
      <c r="N12" s="3">
        <f t="shared" si="4"/>
        <v>816113.42</v>
      </c>
      <c r="O12" s="3">
        <f t="shared" si="4"/>
        <v>815948.48</v>
      </c>
      <c r="P12" s="63">
        <f t="shared" ref="P12:W12" si="5">P13+P18</f>
        <v>816508.01000000013</v>
      </c>
      <c r="Q12" s="63">
        <f t="shared" si="5"/>
        <v>823845.71</v>
      </c>
      <c r="R12" s="63">
        <f t="shared" si="5"/>
        <v>824482.28</v>
      </c>
      <c r="S12" s="63">
        <f t="shared" si="5"/>
        <v>824998.94000000006</v>
      </c>
      <c r="T12" s="63">
        <f t="shared" si="5"/>
        <v>833550.54</v>
      </c>
      <c r="U12" s="56">
        <f t="shared" si="5"/>
        <v>824431.14</v>
      </c>
      <c r="V12" s="56">
        <f t="shared" si="5"/>
        <v>825717.14</v>
      </c>
      <c r="W12" s="56">
        <f t="shared" si="5"/>
        <v>834367.95</v>
      </c>
      <c r="X12" s="56">
        <f t="shared" ref="X12:Y12" si="6">X13+X18</f>
        <v>834319.96</v>
      </c>
      <c r="Y12" s="56">
        <f t="shared" si="6"/>
        <v>834486.79999999981</v>
      </c>
      <c r="Z12" s="56">
        <f t="shared" ref="Z12:AA12" si="7">Z13+Z18</f>
        <v>848067.96</v>
      </c>
      <c r="AA12" s="56">
        <f t="shared" si="7"/>
        <v>848505.8899999999</v>
      </c>
      <c r="AB12" s="56">
        <f t="shared" ref="AB12:AC12" si="8">AB13+AB18</f>
        <v>862446.07000000007</v>
      </c>
      <c r="AC12" s="56">
        <f t="shared" si="8"/>
        <v>820164.40000000014</v>
      </c>
      <c r="AD12" s="56">
        <f t="shared" ref="AD12:AI12" si="9">AD13+AD18</f>
        <v>819970.80000000016</v>
      </c>
      <c r="AE12" s="56">
        <f t="shared" si="9"/>
        <v>820252.10399999993</v>
      </c>
      <c r="AF12" s="56">
        <f t="shared" si="9"/>
        <v>821902.89500000002</v>
      </c>
      <c r="AG12" s="56">
        <f t="shared" si="9"/>
        <v>754052.92999999993</v>
      </c>
      <c r="AH12" s="56">
        <f t="shared" si="9"/>
        <v>758388.41999999993</v>
      </c>
      <c r="AI12" s="56">
        <f t="shared" si="9"/>
        <v>759939.54999999993</v>
      </c>
      <c r="AJ12" s="56">
        <f>AJ13+AJ18</f>
        <v>760275.77999999991</v>
      </c>
      <c r="AK12" s="56">
        <f>AK13+AK18</f>
        <v>765675.40999999992</v>
      </c>
      <c r="AL12" s="56">
        <f>AL13+AL18</f>
        <v>751918.45000000007</v>
      </c>
      <c r="AM12" s="56">
        <f>AM13+AM18</f>
        <v>756864.49</v>
      </c>
      <c r="AN12" s="56">
        <v>764136.44</v>
      </c>
      <c r="AO12" s="66">
        <v>770444.71000000008</v>
      </c>
      <c r="AP12" s="67">
        <f>AP13+AP18</f>
        <v>774648.93</v>
      </c>
      <c r="AQ12" s="67">
        <f>AQ13+AQ18</f>
        <v>734520.33000000007</v>
      </c>
      <c r="AR12" s="67">
        <v>741153.45</v>
      </c>
      <c r="AS12" s="66">
        <f t="shared" ref="AS12:AW12" si="10">AS13+AS18</f>
        <v>739930.35</v>
      </c>
      <c r="AT12" s="66">
        <f t="shared" si="10"/>
        <v>744320.76364051003</v>
      </c>
      <c r="AU12" s="66">
        <f t="shared" si="10"/>
        <v>752048.66000000015</v>
      </c>
      <c r="AV12" s="66">
        <f t="shared" si="10"/>
        <v>752120.94000000006</v>
      </c>
      <c r="AW12" s="66">
        <f t="shared" si="10"/>
        <v>756040.60000000009</v>
      </c>
      <c r="AX12" s="66">
        <f t="shared" ref="AX12:BD12" si="11">AX13+AX18</f>
        <v>755710.37000000011</v>
      </c>
      <c r="AY12" s="66">
        <f t="shared" si="11"/>
        <v>755977.66999999993</v>
      </c>
      <c r="AZ12" s="67">
        <f t="shared" si="11"/>
        <v>761313.31</v>
      </c>
      <c r="BA12" s="67">
        <f t="shared" si="11"/>
        <v>768920.34000000008</v>
      </c>
      <c r="BB12" s="67">
        <f t="shared" si="11"/>
        <v>769236.91999999993</v>
      </c>
      <c r="BC12" s="67">
        <f t="shared" si="11"/>
        <v>742119.77999999991</v>
      </c>
      <c r="BD12" s="67">
        <f t="shared" si="11"/>
        <v>742541.64999999991</v>
      </c>
      <c r="BE12" s="66">
        <f t="shared" ref="BE12:BF12" si="12">BE13+BE18</f>
        <v>734643.94000000006</v>
      </c>
      <c r="BF12" s="66">
        <f t="shared" si="12"/>
        <v>742841.34</v>
      </c>
      <c r="BG12" s="66">
        <f t="shared" ref="BG12:BH12" si="13">BG13+BG18</f>
        <v>743306.73</v>
      </c>
      <c r="BH12" s="112">
        <f t="shared" si="13"/>
        <v>743902.1</v>
      </c>
      <c r="BI12" s="112">
        <f t="shared" ref="BI12" si="14">BI13+BI18</f>
        <v>744502.9</v>
      </c>
      <c r="BJ12" s="112">
        <f t="shared" ref="BJ12:BO12" si="15">BJ13+BJ18</f>
        <v>744506.94000000006</v>
      </c>
      <c r="BK12" s="112">
        <f t="shared" si="15"/>
        <v>761804.51</v>
      </c>
      <c r="BL12" s="112">
        <f t="shared" si="15"/>
        <v>764525.45000000007</v>
      </c>
      <c r="BM12" s="112">
        <f t="shared" si="15"/>
        <v>769573.68</v>
      </c>
      <c r="BN12" s="112">
        <f t="shared" si="15"/>
        <v>769693.41</v>
      </c>
      <c r="BO12" s="112">
        <f t="shared" si="15"/>
        <v>776579.46000000008</v>
      </c>
      <c r="BP12" s="112">
        <f t="shared" ref="BP12:BQ12" si="16">BP13+BP18</f>
        <v>777197.41</v>
      </c>
      <c r="BQ12" s="112">
        <f t="shared" si="16"/>
        <v>785443.7</v>
      </c>
      <c r="BR12" s="112">
        <f t="shared" ref="BR12:BS12" si="17">BR13+BR18</f>
        <v>775639.09</v>
      </c>
      <c r="BS12" s="112">
        <f t="shared" si="17"/>
        <v>775983.23</v>
      </c>
      <c r="BT12" s="112">
        <f t="shared" ref="BT12:BU12" si="18">BT13+BT18</f>
        <v>776483.16</v>
      </c>
      <c r="BU12" s="112">
        <f t="shared" si="18"/>
        <v>777109.83</v>
      </c>
      <c r="BV12" s="112">
        <f t="shared" ref="BV12:BW12" si="19">BV13+BV18</f>
        <v>787038.18</v>
      </c>
      <c r="BW12" s="112">
        <f t="shared" si="19"/>
        <v>795225.02</v>
      </c>
      <c r="BX12" s="112">
        <f t="shared" ref="BX12:BY12" si="20">BX13+BX18</f>
        <v>798667.18</v>
      </c>
      <c r="BY12" s="112">
        <f t="shared" si="20"/>
        <v>782623.05</v>
      </c>
      <c r="BZ12" s="112">
        <f t="shared" ref="BZ12:CA12" si="21">BZ13+BZ18</f>
        <v>782977.70000000007</v>
      </c>
      <c r="CA12" s="112">
        <f t="shared" si="21"/>
        <v>793771.25</v>
      </c>
      <c r="CB12" s="112">
        <f t="shared" ref="CB12:CC12" si="22">CB13+CB18</f>
        <v>799592.55999999994</v>
      </c>
      <c r="CC12" s="112">
        <f t="shared" si="22"/>
        <v>800458.93</v>
      </c>
      <c r="CD12" s="112">
        <f t="shared" ref="CD12:CJ12" si="23">CD13+CD18</f>
        <v>806536.14354073012</v>
      </c>
      <c r="CE12" s="112">
        <f t="shared" si="23"/>
        <v>817720.55</v>
      </c>
      <c r="CF12" s="112">
        <f t="shared" si="23"/>
        <v>824074.03</v>
      </c>
      <c r="CG12" s="112">
        <f t="shared" si="23"/>
        <v>824540.93</v>
      </c>
      <c r="CH12" s="112">
        <f t="shared" si="23"/>
        <v>809437.47</v>
      </c>
      <c r="CI12" s="112">
        <f t="shared" si="23"/>
        <v>810089.73</v>
      </c>
      <c r="CJ12" s="135">
        <f t="shared" si="23"/>
        <v>806818.9</v>
      </c>
      <c r="CK12" s="135">
        <f t="shared" ref="CK12:CL12" si="24">CK13+CK18</f>
        <v>806818.9</v>
      </c>
      <c r="CL12" s="135">
        <f t="shared" si="24"/>
        <v>813223.79</v>
      </c>
      <c r="CM12" s="135">
        <f t="shared" ref="CM12:CN12" si="25">CM13+CM18</f>
        <v>824734.38</v>
      </c>
      <c r="CN12" s="135">
        <f t="shared" si="25"/>
        <v>835918.23</v>
      </c>
      <c r="CO12" s="135">
        <f t="shared" ref="CO12:CP12" si="26">CO13+CO18</f>
        <v>836635.53</v>
      </c>
      <c r="CP12" s="135">
        <f t="shared" si="26"/>
        <v>843759.94</v>
      </c>
      <c r="CQ12" s="135">
        <f t="shared" ref="CQ12:CR12" si="27">CQ13+CQ18</f>
        <v>844867.74</v>
      </c>
      <c r="CR12" s="135">
        <f t="shared" si="27"/>
        <v>845782.34000000008</v>
      </c>
      <c r="CS12" s="135">
        <f t="shared" ref="CS12:CT12" si="28">CS13+CS18</f>
        <v>820278.15</v>
      </c>
      <c r="CT12" s="135">
        <f t="shared" si="28"/>
        <v>820333.17</v>
      </c>
      <c r="CU12" s="135">
        <f t="shared" ref="CU12:CV12" si="29">CU13+CU18</f>
        <v>799313.26</v>
      </c>
      <c r="CV12" s="135">
        <f t="shared" si="29"/>
        <v>808759.02</v>
      </c>
      <c r="CW12" s="135">
        <f t="shared" ref="CW12" si="30">CW13+CW18</f>
        <v>816927.27</v>
      </c>
      <c r="CX12" s="135">
        <f>CX13+CX18</f>
        <v>817174.75</v>
      </c>
      <c r="CY12" s="135">
        <f>CY13+CY18</f>
        <v>822938.52</v>
      </c>
    </row>
    <row r="13" spans="1:103" x14ac:dyDescent="0.35">
      <c r="A13" s="25" t="s">
        <v>68</v>
      </c>
      <c r="B13" s="1" t="s">
        <v>28</v>
      </c>
      <c r="C13" s="27" t="s">
        <v>45</v>
      </c>
      <c r="D13" s="5">
        <f>SUM(D14:D17)</f>
        <v>67094.789999999994</v>
      </c>
      <c r="E13" s="3">
        <f t="shared" ref="E13:AF13" si="31">SUM(E14:E17)</f>
        <v>66381.37</v>
      </c>
      <c r="F13" s="3">
        <f t="shared" si="31"/>
        <v>66384.69</v>
      </c>
      <c r="G13" s="3">
        <f t="shared" si="31"/>
        <v>64884.39</v>
      </c>
      <c r="H13" s="3">
        <f t="shared" si="31"/>
        <v>64884.39</v>
      </c>
      <c r="I13" s="3">
        <f t="shared" si="31"/>
        <v>70917.06</v>
      </c>
      <c r="J13" s="3">
        <f t="shared" si="31"/>
        <v>70959.520000000004</v>
      </c>
      <c r="K13" s="3">
        <f t="shared" si="31"/>
        <v>70964.850000000006</v>
      </c>
      <c r="L13" s="3">
        <f t="shared" si="31"/>
        <v>70991.17</v>
      </c>
      <c r="M13" s="3">
        <f t="shared" si="31"/>
        <v>71043.05</v>
      </c>
      <c r="N13" s="3">
        <f t="shared" si="31"/>
        <v>10175.209999999999</v>
      </c>
      <c r="O13" s="3">
        <f t="shared" si="31"/>
        <v>10184.83</v>
      </c>
      <c r="P13" s="3">
        <f t="shared" si="31"/>
        <v>10241.15</v>
      </c>
      <c r="Q13" s="3">
        <f t="shared" si="31"/>
        <v>82954.37000000001</v>
      </c>
      <c r="R13" s="3">
        <f t="shared" si="31"/>
        <v>83003.62000000001</v>
      </c>
      <c r="S13" s="3">
        <f t="shared" si="31"/>
        <v>83012.47</v>
      </c>
      <c r="T13" s="3">
        <f t="shared" si="31"/>
        <v>78152.850000000006</v>
      </c>
      <c r="U13" s="3">
        <f t="shared" si="31"/>
        <v>68491.26999999999</v>
      </c>
      <c r="V13" s="3">
        <f t="shared" si="31"/>
        <v>69012.87</v>
      </c>
      <c r="W13" s="3">
        <f t="shared" si="31"/>
        <v>73366.84</v>
      </c>
      <c r="X13" s="3">
        <f t="shared" si="31"/>
        <v>73379.31</v>
      </c>
      <c r="Y13" s="3">
        <f t="shared" si="31"/>
        <v>73379.31</v>
      </c>
      <c r="Z13" s="3">
        <f t="shared" si="31"/>
        <v>81098.820000000007</v>
      </c>
      <c r="AA13" s="3">
        <f t="shared" si="31"/>
        <v>81098.820000000007</v>
      </c>
      <c r="AB13" s="3">
        <f t="shared" si="31"/>
        <v>81698.820000000007</v>
      </c>
      <c r="AC13" s="3">
        <f t="shared" si="31"/>
        <v>17810.920000000002</v>
      </c>
      <c r="AD13" s="3">
        <f t="shared" si="31"/>
        <v>18210.920000000002</v>
      </c>
      <c r="AE13" s="3">
        <f t="shared" si="31"/>
        <v>76849.210000000006</v>
      </c>
      <c r="AF13" s="3">
        <f t="shared" si="31"/>
        <v>77329.16</v>
      </c>
      <c r="AG13" s="56">
        <f t="shared" ref="AG13:AL13" si="32">SUM(AG14:AG17)</f>
        <v>79454.16</v>
      </c>
      <c r="AH13" s="56">
        <f t="shared" si="32"/>
        <v>79454.16</v>
      </c>
      <c r="AI13" s="56">
        <f t="shared" si="32"/>
        <v>75665.58</v>
      </c>
      <c r="AJ13" s="56">
        <f t="shared" si="32"/>
        <v>75664.09</v>
      </c>
      <c r="AK13" s="56">
        <f t="shared" si="32"/>
        <v>75664.09</v>
      </c>
      <c r="AL13" s="56">
        <f t="shared" si="32"/>
        <v>68294.73</v>
      </c>
      <c r="AM13" s="56">
        <f t="shared" ref="AM13" si="33">SUM(AM14:AM17)</f>
        <v>68211.83</v>
      </c>
      <c r="AN13" s="56">
        <v>68411.05</v>
      </c>
      <c r="AO13" s="66">
        <v>68711.05</v>
      </c>
      <c r="AP13" s="67">
        <f>SUM(AP14:AP17)</f>
        <v>68909.48</v>
      </c>
      <c r="AQ13" s="67">
        <f>SUM(AQ14:AQ17)</f>
        <v>51093.88</v>
      </c>
      <c r="AR13" s="67">
        <v>51293.079999999994</v>
      </c>
      <c r="AS13" s="66">
        <f t="shared" ref="AS13:AX13" si="34">SUM(AS14:AS17)</f>
        <v>57968.590000000004</v>
      </c>
      <c r="AT13" s="66">
        <f t="shared" si="34"/>
        <v>58066.99</v>
      </c>
      <c r="AU13" s="66">
        <f t="shared" si="34"/>
        <v>58164.91</v>
      </c>
      <c r="AV13" s="66">
        <f t="shared" si="34"/>
        <v>57920.100000000006</v>
      </c>
      <c r="AW13" s="66">
        <f t="shared" si="34"/>
        <v>58620.100000000006</v>
      </c>
      <c r="AX13" s="66">
        <f t="shared" si="34"/>
        <v>58499.060000000005</v>
      </c>
      <c r="AY13" s="66">
        <f t="shared" ref="AY13:BF13" si="35">SUM(AY14:AY17)</f>
        <v>58741.19</v>
      </c>
      <c r="AZ13" s="67">
        <f t="shared" si="35"/>
        <v>58741.19</v>
      </c>
      <c r="BA13" s="67">
        <f t="shared" si="35"/>
        <v>58841.19</v>
      </c>
      <c r="BB13" s="67">
        <f t="shared" si="35"/>
        <v>58841.19</v>
      </c>
      <c r="BC13" s="67">
        <f t="shared" si="35"/>
        <v>18417.7</v>
      </c>
      <c r="BD13" s="67">
        <f t="shared" si="35"/>
        <v>18517.7</v>
      </c>
      <c r="BE13" s="66">
        <f t="shared" si="35"/>
        <v>10102</v>
      </c>
      <c r="BF13" s="66">
        <f t="shared" si="35"/>
        <v>99699.12</v>
      </c>
      <c r="BG13" s="66">
        <f t="shared" ref="BG13:BH13" si="36">SUM(BG14:BG17)</f>
        <v>99799.12</v>
      </c>
      <c r="BH13" s="112">
        <f t="shared" si="36"/>
        <v>99799.12</v>
      </c>
      <c r="BI13" s="112">
        <f t="shared" ref="BI13:BJ13" si="37">SUM(BI14:BI17)</f>
        <v>99799.12</v>
      </c>
      <c r="BJ13" s="112">
        <f t="shared" si="37"/>
        <v>99797.119999999995</v>
      </c>
      <c r="BK13" s="112">
        <f t="shared" ref="BK13:BL13" si="38">SUM(BK14:BK17)</f>
        <v>99797.119999999995</v>
      </c>
      <c r="BL13" s="112">
        <f t="shared" si="38"/>
        <v>99797.119999999995</v>
      </c>
      <c r="BM13" s="112">
        <f t="shared" ref="BM13" si="39">SUM(BM14:BM17)</f>
        <v>126292.12</v>
      </c>
      <c r="BN13" s="112">
        <f t="shared" ref="BN13:BO13" si="40">SUM(BN14:BN17)</f>
        <v>126292.12</v>
      </c>
      <c r="BO13" s="112">
        <f t="shared" si="40"/>
        <v>126292.12</v>
      </c>
      <c r="BP13" s="112">
        <f t="shared" ref="BP13:BQ13" si="41">SUM(BP14:BP17)</f>
        <v>126292.12</v>
      </c>
      <c r="BQ13" s="112">
        <f t="shared" si="41"/>
        <v>126342.33</v>
      </c>
      <c r="BR13" s="112">
        <f t="shared" ref="BR13:BS13" si="42">SUM(BR14:BR17)</f>
        <v>36845.21</v>
      </c>
      <c r="BS13" s="112">
        <f t="shared" si="42"/>
        <v>36845.21</v>
      </c>
      <c r="BT13" s="112">
        <f t="shared" ref="BT13:BU13" si="43">SUM(BT14:BT17)</f>
        <v>36845.21</v>
      </c>
      <c r="BU13" s="112">
        <f t="shared" si="43"/>
        <v>36845.21</v>
      </c>
      <c r="BV13" s="112">
        <f t="shared" ref="BV13:BW13" si="44">SUM(BV14:BV17)</f>
        <v>52559.47</v>
      </c>
      <c r="BW13" s="112">
        <f t="shared" si="44"/>
        <v>52509.19</v>
      </c>
      <c r="BX13" s="112">
        <f t="shared" ref="BX13:BY13" si="45">SUM(BX14:BX17)</f>
        <v>56509.22</v>
      </c>
      <c r="BY13" s="112">
        <f t="shared" si="45"/>
        <v>30014.240000000002</v>
      </c>
      <c r="BZ13" s="112">
        <f t="shared" ref="BZ13:CA13" si="46">SUM(BZ14:BZ17)</f>
        <v>30014.26</v>
      </c>
      <c r="CA13" s="112">
        <f t="shared" si="46"/>
        <v>30014.32</v>
      </c>
      <c r="CB13" s="112">
        <f t="shared" ref="CB13:CC13" si="47">SUM(CB14:CB17)</f>
        <v>30016.44</v>
      </c>
      <c r="CC13" s="112">
        <f t="shared" si="47"/>
        <v>30016.52</v>
      </c>
      <c r="CD13" s="112">
        <f t="shared" ref="CD13:CE13" si="48">SUM(CD14:CD17)</f>
        <v>30016.52</v>
      </c>
      <c r="CE13" s="112">
        <f t="shared" si="48"/>
        <v>30016.74</v>
      </c>
      <c r="CF13" s="112">
        <f t="shared" ref="CF13:CG13" si="49">SUM(CF14:CF17)</f>
        <v>30016.78</v>
      </c>
      <c r="CG13" s="112">
        <f t="shared" si="49"/>
        <v>72905.14</v>
      </c>
      <c r="CH13" s="112">
        <f t="shared" ref="CH13:CJ13" si="50">SUM(CH14:CH17)</f>
        <v>57190.38</v>
      </c>
      <c r="CI13" s="112">
        <f t="shared" si="50"/>
        <v>104760.23</v>
      </c>
      <c r="CJ13" s="135">
        <f t="shared" si="50"/>
        <v>100569.64</v>
      </c>
      <c r="CK13" s="135">
        <f t="shared" ref="CK13:CL13" si="51">SUM(CK14:CK17)</f>
        <v>100569.64</v>
      </c>
      <c r="CL13" s="135">
        <f t="shared" si="51"/>
        <v>100569.64</v>
      </c>
      <c r="CM13" s="135">
        <f t="shared" ref="CM13:CN13" si="52">SUM(CM14:CM17)</f>
        <v>100569.64</v>
      </c>
      <c r="CN13" s="135">
        <f t="shared" si="52"/>
        <v>100567.59</v>
      </c>
      <c r="CO13" s="135">
        <f t="shared" ref="CO13:CP13" si="53">SUM(CO14:CO17)</f>
        <v>100567.59</v>
      </c>
      <c r="CP13" s="135">
        <f t="shared" si="53"/>
        <v>100758.18</v>
      </c>
      <c r="CQ13" s="135">
        <f t="shared" ref="CQ13:CR13" si="54">SUM(CQ14:CQ17)</f>
        <v>100758.19</v>
      </c>
      <c r="CR13" s="135">
        <f t="shared" si="54"/>
        <v>100758.18</v>
      </c>
      <c r="CS13" s="135">
        <f t="shared" ref="CS13:CT13" si="55">SUM(CS14:CS17)</f>
        <v>57869.85</v>
      </c>
      <c r="CT13" s="135">
        <f t="shared" si="55"/>
        <v>57935.64</v>
      </c>
      <c r="CU13" s="135">
        <f t="shared" ref="CU13:CV13" si="56">SUM(CU14:CU17)</f>
        <v>10365.790000000001</v>
      </c>
      <c r="CV13" s="135">
        <f t="shared" si="56"/>
        <v>15389.33</v>
      </c>
      <c r="CW13" s="135">
        <f t="shared" ref="CW13" si="57">SUM(CW14:CW17)</f>
        <v>15389.33</v>
      </c>
      <c r="CX13" s="135">
        <f>SUM(CX14:CX17)</f>
        <v>15389.33</v>
      </c>
      <c r="CY13" s="144">
        <f>SUM(CY14:CY17)</f>
        <v>15389.33</v>
      </c>
    </row>
    <row r="14" spans="1:103" x14ac:dyDescent="0.35">
      <c r="A14" s="25" t="s">
        <v>69</v>
      </c>
      <c r="B14" s="29" t="s">
        <v>29</v>
      </c>
      <c r="C14" s="27" t="s">
        <v>46</v>
      </c>
      <c r="D14" s="6">
        <v>62649.09</v>
      </c>
      <c r="E14" s="4">
        <v>61933.86</v>
      </c>
      <c r="F14" s="4">
        <v>61933.86</v>
      </c>
      <c r="G14" s="4">
        <v>60431.87</v>
      </c>
      <c r="H14" s="4">
        <v>60431.87</v>
      </c>
      <c r="I14" s="4">
        <v>60428.07</v>
      </c>
      <c r="J14" s="4">
        <v>60428.07</v>
      </c>
      <c r="K14" s="4">
        <v>60428.07</v>
      </c>
      <c r="L14" s="4">
        <v>60428.07</v>
      </c>
      <c r="M14" s="4">
        <v>60428.07</v>
      </c>
      <c r="N14" s="4">
        <v>3.37</v>
      </c>
      <c r="O14" s="4">
        <v>3.37</v>
      </c>
      <c r="P14" s="54">
        <v>3.37</v>
      </c>
      <c r="Q14" s="54">
        <v>72602.27</v>
      </c>
      <c r="R14" s="54">
        <v>72602.27</v>
      </c>
      <c r="S14" s="54">
        <v>72602.27</v>
      </c>
      <c r="T14" s="54">
        <v>67691.27</v>
      </c>
      <c r="U14" s="55">
        <v>64491.27</v>
      </c>
      <c r="V14" s="55">
        <v>64491.27</v>
      </c>
      <c r="W14" s="55">
        <v>68491.27</v>
      </c>
      <c r="X14" s="55">
        <v>68491.27</v>
      </c>
      <c r="Y14" s="55">
        <v>68491.27</v>
      </c>
      <c r="Z14" s="38">
        <v>75978.77</v>
      </c>
      <c r="AA14" s="55">
        <v>75978.77</v>
      </c>
      <c r="AB14" s="55">
        <v>75978.77</v>
      </c>
      <c r="AC14" s="55">
        <v>11490.87</v>
      </c>
      <c r="AD14" s="55">
        <v>11490.87</v>
      </c>
      <c r="AE14" s="55">
        <v>69929.16</v>
      </c>
      <c r="AF14" s="55">
        <v>69929.16</v>
      </c>
      <c r="AG14" s="55">
        <v>69929.16</v>
      </c>
      <c r="AH14" s="55">
        <v>69929.16</v>
      </c>
      <c r="AI14" s="55">
        <v>65929.16</v>
      </c>
      <c r="AJ14" s="55">
        <v>65929.16</v>
      </c>
      <c r="AK14" s="55">
        <v>65929.16</v>
      </c>
      <c r="AL14" s="55">
        <v>58561.33</v>
      </c>
      <c r="AM14" s="55">
        <v>58561.33</v>
      </c>
      <c r="AN14" s="55">
        <v>58561.33</v>
      </c>
      <c r="AO14" s="8">
        <v>58561.33</v>
      </c>
      <c r="AP14" s="55">
        <v>58561.33</v>
      </c>
      <c r="AQ14" s="70">
        <v>40646.519999999997</v>
      </c>
      <c r="AR14" s="70">
        <v>40646.519999999997</v>
      </c>
      <c r="AS14" s="76">
        <v>49062.22</v>
      </c>
      <c r="AT14" s="76">
        <v>49062.22</v>
      </c>
      <c r="AU14" s="76">
        <v>49062.22</v>
      </c>
      <c r="AV14" s="76">
        <v>49062.22</v>
      </c>
      <c r="AW14" s="76">
        <v>49062.22</v>
      </c>
      <c r="AX14" s="76">
        <v>48941.19</v>
      </c>
      <c r="AY14" s="76">
        <v>48941.19</v>
      </c>
      <c r="AZ14" s="46">
        <v>48941.19</v>
      </c>
      <c r="BA14" s="46">
        <v>48941.19</v>
      </c>
      <c r="BB14" s="46">
        <v>48941.19</v>
      </c>
      <c r="BC14" s="46">
        <v>8417.7000000000007</v>
      </c>
      <c r="BD14" s="46">
        <v>8417.7000000000007</v>
      </c>
      <c r="BE14" s="8">
        <v>2</v>
      </c>
      <c r="BF14" s="8">
        <v>89499.12</v>
      </c>
      <c r="BG14" s="8">
        <v>89499.12</v>
      </c>
      <c r="BH14" s="109">
        <v>89499.12</v>
      </c>
      <c r="BI14" s="109">
        <v>89499.12</v>
      </c>
      <c r="BJ14" s="109">
        <v>89497.12</v>
      </c>
      <c r="BK14" s="109">
        <v>89497.12</v>
      </c>
      <c r="BL14" s="109">
        <v>89497.12</v>
      </c>
      <c r="BM14" s="109">
        <v>115992.12</v>
      </c>
      <c r="BN14" s="109">
        <v>115992.12</v>
      </c>
      <c r="BO14" s="109">
        <v>115992.12</v>
      </c>
      <c r="BP14" s="109">
        <v>115992.12</v>
      </c>
      <c r="BQ14" s="109">
        <v>115992.12</v>
      </c>
      <c r="BR14" s="109">
        <v>26495</v>
      </c>
      <c r="BS14" s="109">
        <v>26495</v>
      </c>
      <c r="BT14" s="109">
        <v>26495</v>
      </c>
      <c r="BU14" s="109">
        <v>26495</v>
      </c>
      <c r="BV14" s="109">
        <v>42209.26</v>
      </c>
      <c r="BW14" s="109">
        <v>42209.19</v>
      </c>
      <c r="BX14" s="109">
        <v>46209.22</v>
      </c>
      <c r="BY14" s="109">
        <v>19714.240000000002</v>
      </c>
      <c r="BZ14" s="109">
        <v>19714.259999999998</v>
      </c>
      <c r="CA14" s="109">
        <v>19714.32</v>
      </c>
      <c r="CB14" s="109">
        <v>19716.439999999999</v>
      </c>
      <c r="CC14" s="109">
        <v>19716.52</v>
      </c>
      <c r="CD14" s="109">
        <v>19716.52</v>
      </c>
      <c r="CE14" s="109">
        <v>19716.740000000002</v>
      </c>
      <c r="CF14" s="109">
        <v>19716.78</v>
      </c>
      <c r="CG14" s="109">
        <v>62605.14</v>
      </c>
      <c r="CH14" s="109">
        <v>46890.38</v>
      </c>
      <c r="CI14" s="109">
        <v>94460.23</v>
      </c>
      <c r="CJ14" s="109">
        <v>90460.23</v>
      </c>
      <c r="CK14" s="109">
        <v>90460.23</v>
      </c>
      <c r="CL14" s="109">
        <v>90460.23</v>
      </c>
      <c r="CM14" s="109">
        <v>90460.23</v>
      </c>
      <c r="CN14" s="136">
        <v>90458.18</v>
      </c>
      <c r="CO14" s="136">
        <v>90458.18</v>
      </c>
      <c r="CP14" s="136">
        <v>90458.18</v>
      </c>
      <c r="CQ14" s="136">
        <v>90458.19</v>
      </c>
      <c r="CR14" s="136">
        <v>90458.18</v>
      </c>
      <c r="CS14" s="136">
        <v>47569.85</v>
      </c>
      <c r="CT14" s="136">
        <v>47635.64</v>
      </c>
      <c r="CU14" s="136">
        <v>65.790000000000006</v>
      </c>
      <c r="CV14" s="136">
        <v>5089.33</v>
      </c>
      <c r="CW14" s="136">
        <v>5089.33</v>
      </c>
      <c r="CX14" s="136">
        <v>5089.33</v>
      </c>
      <c r="CY14" s="145">
        <v>5089.33</v>
      </c>
    </row>
    <row r="15" spans="1:103" x14ac:dyDescent="0.35">
      <c r="A15" s="25" t="s">
        <v>70</v>
      </c>
      <c r="B15" s="29" t="s">
        <v>30</v>
      </c>
      <c r="C15" s="27" t="s">
        <v>47</v>
      </c>
      <c r="D15" s="6">
        <v>445.7</v>
      </c>
      <c r="E15" s="4">
        <v>447.51</v>
      </c>
      <c r="F15" s="4">
        <v>450.83</v>
      </c>
      <c r="G15" s="4">
        <v>452.52</v>
      </c>
      <c r="H15" s="4">
        <v>452.52</v>
      </c>
      <c r="I15" s="4">
        <v>6488.99</v>
      </c>
      <c r="J15" s="4">
        <v>6531.45</v>
      </c>
      <c r="K15" s="4">
        <v>6536.78</v>
      </c>
      <c r="L15" s="4">
        <v>6563.1</v>
      </c>
      <c r="M15" s="4">
        <v>6614.98</v>
      </c>
      <c r="N15" s="4">
        <v>6171.84</v>
      </c>
      <c r="O15" s="4">
        <v>6181.46</v>
      </c>
      <c r="P15" s="54">
        <v>6237.78</v>
      </c>
      <c r="Q15" s="54">
        <v>6352.1</v>
      </c>
      <c r="R15" s="54">
        <v>6401.35</v>
      </c>
      <c r="S15" s="54">
        <v>6410.2</v>
      </c>
      <c r="T15" s="54">
        <v>6461.58</v>
      </c>
      <c r="U15" s="55">
        <v>0</v>
      </c>
      <c r="V15" s="55">
        <v>0</v>
      </c>
      <c r="W15" s="55">
        <v>0</v>
      </c>
      <c r="X15" s="55">
        <v>0</v>
      </c>
      <c r="Y15" s="55">
        <v>0</v>
      </c>
      <c r="Z15" s="55">
        <v>0</v>
      </c>
      <c r="AA15" s="55">
        <v>0</v>
      </c>
      <c r="AB15" s="55">
        <v>0</v>
      </c>
      <c r="AC15" s="55">
        <v>0</v>
      </c>
      <c r="AD15" s="55">
        <v>0</v>
      </c>
      <c r="AE15" s="55">
        <v>0</v>
      </c>
      <c r="AF15" s="55">
        <v>0</v>
      </c>
      <c r="AG15" s="55">
        <v>0</v>
      </c>
      <c r="AH15" s="55">
        <v>0</v>
      </c>
      <c r="AI15" s="55">
        <v>0</v>
      </c>
      <c r="AJ15" s="55">
        <v>0</v>
      </c>
      <c r="AK15" s="55">
        <v>0</v>
      </c>
      <c r="AL15" s="55">
        <v>0</v>
      </c>
      <c r="AM15" s="55">
        <v>0</v>
      </c>
      <c r="AN15" s="55">
        <v>0</v>
      </c>
      <c r="AO15" s="55">
        <v>0</v>
      </c>
      <c r="AP15" s="55">
        <v>0</v>
      </c>
      <c r="AQ15" s="65">
        <v>0</v>
      </c>
      <c r="AR15" s="65">
        <v>0</v>
      </c>
      <c r="AS15" s="77">
        <v>0</v>
      </c>
      <c r="AT15" s="77">
        <v>0</v>
      </c>
      <c r="AU15" s="77">
        <v>0</v>
      </c>
      <c r="AV15" s="77">
        <v>0</v>
      </c>
      <c r="AW15" s="77">
        <v>0</v>
      </c>
      <c r="AX15" s="76">
        <v>0</v>
      </c>
      <c r="AY15" s="76">
        <v>0</v>
      </c>
      <c r="AZ15" s="46">
        <v>0</v>
      </c>
      <c r="BA15" s="46">
        <v>0</v>
      </c>
      <c r="BB15" s="46">
        <v>0</v>
      </c>
      <c r="BC15" s="46">
        <v>0</v>
      </c>
      <c r="BD15" s="46">
        <v>0</v>
      </c>
      <c r="BE15" s="8">
        <v>0</v>
      </c>
      <c r="BF15" s="8">
        <v>0</v>
      </c>
      <c r="BG15" s="8">
        <v>0</v>
      </c>
      <c r="BH15" s="109">
        <v>0</v>
      </c>
      <c r="BI15" s="109">
        <v>0</v>
      </c>
      <c r="BJ15" s="109">
        <v>0</v>
      </c>
      <c r="BK15" s="109">
        <v>0</v>
      </c>
      <c r="BL15" s="109">
        <v>0</v>
      </c>
      <c r="BM15" s="109">
        <v>0</v>
      </c>
      <c r="BN15" s="109">
        <v>0</v>
      </c>
      <c r="BO15" s="109">
        <v>0</v>
      </c>
      <c r="BP15" s="109">
        <v>0</v>
      </c>
      <c r="BQ15" s="109">
        <v>0</v>
      </c>
      <c r="BR15" s="109">
        <v>0</v>
      </c>
      <c r="BS15" s="109">
        <v>0</v>
      </c>
      <c r="BT15" s="109">
        <v>0</v>
      </c>
      <c r="BU15" s="109">
        <v>0</v>
      </c>
      <c r="BV15" s="109">
        <v>0</v>
      </c>
      <c r="BW15" s="109">
        <v>0</v>
      </c>
      <c r="BX15" s="109">
        <v>0</v>
      </c>
      <c r="BY15" s="109">
        <v>0</v>
      </c>
      <c r="BZ15" s="109">
        <v>0</v>
      </c>
      <c r="CA15" s="109">
        <v>0</v>
      </c>
      <c r="CB15" s="109">
        <v>0</v>
      </c>
      <c r="CC15" s="109">
        <v>0</v>
      </c>
      <c r="CD15" s="109">
        <v>0</v>
      </c>
      <c r="CE15" s="109">
        <v>0</v>
      </c>
      <c r="CF15" s="109">
        <v>0</v>
      </c>
      <c r="CG15" s="109">
        <v>0</v>
      </c>
      <c r="CH15" s="109">
        <v>0</v>
      </c>
      <c r="CI15" s="109">
        <v>0</v>
      </c>
      <c r="CJ15" s="109">
        <v>0</v>
      </c>
      <c r="CK15" s="109">
        <v>0</v>
      </c>
      <c r="CL15" s="109">
        <v>0</v>
      </c>
      <c r="CM15" s="109">
        <v>0</v>
      </c>
      <c r="CN15" s="136">
        <v>0</v>
      </c>
      <c r="CO15" s="136">
        <v>0</v>
      </c>
      <c r="CP15" s="136">
        <v>0</v>
      </c>
      <c r="CQ15" s="136">
        <v>0</v>
      </c>
      <c r="CR15" s="136">
        <v>0</v>
      </c>
      <c r="CS15" s="136">
        <v>0</v>
      </c>
      <c r="CT15" s="136">
        <v>0</v>
      </c>
      <c r="CU15" s="136">
        <v>0</v>
      </c>
      <c r="CV15" s="136">
        <v>0</v>
      </c>
      <c r="CW15" s="136">
        <v>0</v>
      </c>
      <c r="CX15" s="136">
        <v>0</v>
      </c>
      <c r="CY15" s="145">
        <v>0</v>
      </c>
    </row>
    <row r="16" spans="1:103" x14ac:dyDescent="0.35">
      <c r="A16" s="25" t="s">
        <v>71</v>
      </c>
      <c r="B16" s="29" t="s">
        <v>31</v>
      </c>
      <c r="C16" s="27" t="s">
        <v>48</v>
      </c>
      <c r="D16" s="6">
        <v>4000</v>
      </c>
      <c r="E16" s="4">
        <v>4000</v>
      </c>
      <c r="F16" s="4">
        <v>4000</v>
      </c>
      <c r="G16" s="4">
        <v>4000</v>
      </c>
      <c r="H16" s="4">
        <v>4000</v>
      </c>
      <c r="I16" s="4">
        <v>4000</v>
      </c>
      <c r="J16" s="4">
        <v>4000</v>
      </c>
      <c r="K16" s="4">
        <v>4000</v>
      </c>
      <c r="L16" s="4">
        <v>4000</v>
      </c>
      <c r="M16" s="4">
        <v>4000</v>
      </c>
      <c r="N16" s="4">
        <v>4000</v>
      </c>
      <c r="O16" s="4">
        <v>4000</v>
      </c>
      <c r="P16" s="54">
        <v>4000</v>
      </c>
      <c r="Q16" s="54">
        <v>4000</v>
      </c>
      <c r="R16" s="54">
        <v>4000</v>
      </c>
      <c r="S16" s="54">
        <v>4000</v>
      </c>
      <c r="T16" s="54">
        <v>4000</v>
      </c>
      <c r="U16" s="55">
        <v>4000</v>
      </c>
      <c r="V16" s="55">
        <v>4521.6000000000004</v>
      </c>
      <c r="W16" s="55">
        <v>4875.57</v>
      </c>
      <c r="X16" s="55">
        <v>4888.04</v>
      </c>
      <c r="Y16" s="55">
        <v>4888.04</v>
      </c>
      <c r="Z16" s="38">
        <v>5120.05</v>
      </c>
      <c r="AA16" s="55">
        <v>5120.05</v>
      </c>
      <c r="AB16" s="55">
        <v>5720.05</v>
      </c>
      <c r="AC16" s="55">
        <v>6320.05</v>
      </c>
      <c r="AD16" s="55">
        <v>6720.05</v>
      </c>
      <c r="AE16" s="55">
        <v>6920.05</v>
      </c>
      <c r="AF16" s="55">
        <v>7400</v>
      </c>
      <c r="AG16" s="55">
        <v>7600</v>
      </c>
      <c r="AH16" s="55">
        <v>7600</v>
      </c>
      <c r="AI16" s="55">
        <v>7800</v>
      </c>
      <c r="AJ16" s="55">
        <v>7800</v>
      </c>
      <c r="AK16" s="55">
        <v>7800</v>
      </c>
      <c r="AL16" s="55">
        <v>7800</v>
      </c>
      <c r="AM16" s="55">
        <v>7800</v>
      </c>
      <c r="AN16" s="55">
        <v>8000</v>
      </c>
      <c r="AO16" s="8">
        <v>8300</v>
      </c>
      <c r="AP16" s="55">
        <v>8500</v>
      </c>
      <c r="AQ16" s="70">
        <v>8600</v>
      </c>
      <c r="AR16" s="70">
        <v>8800</v>
      </c>
      <c r="AS16" s="76">
        <v>8900</v>
      </c>
      <c r="AT16" s="76">
        <v>9000</v>
      </c>
      <c r="AU16" s="76">
        <v>9100</v>
      </c>
      <c r="AV16" s="76">
        <v>8855.19</v>
      </c>
      <c r="AW16" s="76">
        <v>9555.19</v>
      </c>
      <c r="AX16" s="76">
        <v>9555.19</v>
      </c>
      <c r="AY16" s="76">
        <v>9800</v>
      </c>
      <c r="AZ16" s="46">
        <v>9800</v>
      </c>
      <c r="BA16" s="46">
        <v>9900</v>
      </c>
      <c r="BB16" s="46">
        <v>9900</v>
      </c>
      <c r="BC16" s="46">
        <v>10000</v>
      </c>
      <c r="BD16" s="46">
        <v>10100</v>
      </c>
      <c r="BE16" s="8">
        <v>10100</v>
      </c>
      <c r="BF16" s="8">
        <v>10200</v>
      </c>
      <c r="BG16" s="8">
        <v>10300</v>
      </c>
      <c r="BH16" s="109">
        <v>10300</v>
      </c>
      <c r="BI16" s="109">
        <v>10300</v>
      </c>
      <c r="BJ16" s="109">
        <v>10300</v>
      </c>
      <c r="BK16" s="109">
        <v>10300</v>
      </c>
      <c r="BL16" s="109">
        <v>10300</v>
      </c>
      <c r="BM16" s="109">
        <v>10300</v>
      </c>
      <c r="BN16" s="109">
        <v>10300</v>
      </c>
      <c r="BO16" s="109">
        <v>10300</v>
      </c>
      <c r="BP16" s="109">
        <v>10300</v>
      </c>
      <c r="BQ16" s="109">
        <v>10300</v>
      </c>
      <c r="BR16" s="109">
        <v>10300</v>
      </c>
      <c r="BS16" s="109">
        <v>10300</v>
      </c>
      <c r="BT16" s="109">
        <v>10300</v>
      </c>
      <c r="BU16" s="109">
        <v>10300</v>
      </c>
      <c r="BV16" s="109">
        <v>10300</v>
      </c>
      <c r="BW16" s="109">
        <v>10300</v>
      </c>
      <c r="BX16" s="109">
        <v>10300</v>
      </c>
      <c r="BY16" s="109">
        <v>10300</v>
      </c>
      <c r="BZ16" s="109">
        <v>10300</v>
      </c>
      <c r="CA16" s="109">
        <v>10300</v>
      </c>
      <c r="CB16" s="109">
        <v>10300</v>
      </c>
      <c r="CC16" s="109">
        <v>10300</v>
      </c>
      <c r="CD16" s="109">
        <v>10300</v>
      </c>
      <c r="CE16" s="109">
        <v>10300</v>
      </c>
      <c r="CF16" s="109">
        <v>10300</v>
      </c>
      <c r="CG16" s="109">
        <v>10300</v>
      </c>
      <c r="CH16" s="109">
        <v>10300</v>
      </c>
      <c r="CI16" s="109">
        <v>10300</v>
      </c>
      <c r="CJ16" s="136">
        <v>10109.41</v>
      </c>
      <c r="CK16" s="136">
        <v>10109.41</v>
      </c>
      <c r="CL16" s="136">
        <v>10109.41</v>
      </c>
      <c r="CM16" s="136">
        <v>10109.41</v>
      </c>
      <c r="CN16" s="136">
        <v>10109.41</v>
      </c>
      <c r="CO16" s="136">
        <v>10109.41</v>
      </c>
      <c r="CP16" s="136">
        <v>10300</v>
      </c>
      <c r="CQ16" s="136">
        <v>10300</v>
      </c>
      <c r="CR16" s="136">
        <v>10300</v>
      </c>
      <c r="CS16" s="136">
        <v>10300</v>
      </c>
      <c r="CT16" s="136">
        <v>10300</v>
      </c>
      <c r="CU16" s="136">
        <v>10300</v>
      </c>
      <c r="CV16" s="136">
        <v>10300</v>
      </c>
      <c r="CW16" s="136">
        <v>10300</v>
      </c>
      <c r="CX16" s="136">
        <v>10300</v>
      </c>
      <c r="CY16" s="145">
        <v>10300</v>
      </c>
    </row>
    <row r="17" spans="1:105" x14ac:dyDescent="0.35">
      <c r="A17" s="25" t="s">
        <v>111</v>
      </c>
      <c r="B17" s="29" t="s">
        <v>33</v>
      </c>
      <c r="C17" s="27" t="s">
        <v>112</v>
      </c>
      <c r="D17" s="6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54"/>
      <c r="Q17" s="54"/>
      <c r="R17" s="54"/>
      <c r="S17" s="54"/>
      <c r="T17" s="54"/>
      <c r="U17" s="55"/>
      <c r="V17" s="55"/>
      <c r="W17" s="55"/>
      <c r="X17" s="55"/>
      <c r="Y17" s="55"/>
      <c r="Z17" s="55"/>
      <c r="AA17" s="55"/>
      <c r="AB17" s="55"/>
      <c r="AC17" s="55"/>
      <c r="AD17" s="55"/>
      <c r="AE17" s="55"/>
      <c r="AF17" s="55"/>
      <c r="AG17" s="55">
        <v>1925</v>
      </c>
      <c r="AH17" s="55">
        <v>1925</v>
      </c>
      <c r="AI17" s="55">
        <v>1936.42</v>
      </c>
      <c r="AJ17" s="55">
        <v>1934.93</v>
      </c>
      <c r="AK17" s="55">
        <v>1934.93</v>
      </c>
      <c r="AL17" s="55">
        <v>1933.4</v>
      </c>
      <c r="AM17" s="55">
        <v>1850.5</v>
      </c>
      <c r="AN17" s="55">
        <v>1849.72</v>
      </c>
      <c r="AO17" s="8">
        <v>1849.72</v>
      </c>
      <c r="AP17" s="55">
        <v>1848.15</v>
      </c>
      <c r="AQ17" s="70">
        <v>1847.36</v>
      </c>
      <c r="AR17" s="70">
        <v>1846.56</v>
      </c>
      <c r="AS17" s="27">
        <v>6.37</v>
      </c>
      <c r="AT17" s="27">
        <v>4.7699999999999996</v>
      </c>
      <c r="AU17" s="27">
        <v>2.69</v>
      </c>
      <c r="AV17" s="27">
        <v>2.69</v>
      </c>
      <c r="AW17" s="27">
        <v>2.69</v>
      </c>
      <c r="AX17">
        <v>2.68</v>
      </c>
      <c r="AY17" s="75">
        <v>0</v>
      </c>
      <c r="AZ17" s="46">
        <v>0</v>
      </c>
      <c r="BA17" s="46">
        <v>0</v>
      </c>
      <c r="BB17" s="46">
        <v>0</v>
      </c>
      <c r="BC17" s="46">
        <v>0</v>
      </c>
      <c r="BD17" s="46">
        <v>0</v>
      </c>
      <c r="BE17" s="8">
        <v>0</v>
      </c>
      <c r="BF17" s="8">
        <v>0</v>
      </c>
      <c r="BG17" s="8">
        <v>0</v>
      </c>
      <c r="BH17" s="109">
        <v>0</v>
      </c>
      <c r="BI17" s="109">
        <v>0</v>
      </c>
      <c r="BJ17" s="109">
        <v>0</v>
      </c>
      <c r="BK17" s="109">
        <v>0</v>
      </c>
      <c r="BL17" s="109">
        <v>0</v>
      </c>
      <c r="BM17" s="109">
        <v>0</v>
      </c>
      <c r="BN17" s="109">
        <v>0</v>
      </c>
      <c r="BO17" s="109">
        <v>0</v>
      </c>
      <c r="BP17" s="109">
        <v>0</v>
      </c>
      <c r="BQ17" s="109">
        <v>50.21</v>
      </c>
      <c r="BR17" s="109">
        <v>50.21</v>
      </c>
      <c r="BS17" s="109">
        <v>50.21</v>
      </c>
      <c r="BT17" s="109">
        <v>50.21</v>
      </c>
      <c r="BU17" s="109">
        <v>50.21</v>
      </c>
      <c r="BV17" s="109">
        <v>50.21</v>
      </c>
      <c r="BW17" s="109">
        <v>0</v>
      </c>
      <c r="BX17" s="109">
        <v>0</v>
      </c>
      <c r="BY17" s="109">
        <v>0</v>
      </c>
      <c r="BZ17" s="109">
        <v>0</v>
      </c>
      <c r="CA17" s="109">
        <v>0</v>
      </c>
      <c r="CB17" s="109">
        <v>0</v>
      </c>
      <c r="CC17" s="109">
        <v>0</v>
      </c>
      <c r="CD17" s="109">
        <v>0</v>
      </c>
      <c r="CE17" s="109">
        <v>0</v>
      </c>
      <c r="CF17" s="109">
        <v>0</v>
      </c>
      <c r="CG17" s="109">
        <v>0</v>
      </c>
      <c r="CH17" s="109">
        <v>0</v>
      </c>
      <c r="CI17" s="109">
        <v>0</v>
      </c>
      <c r="CJ17" s="136">
        <v>0</v>
      </c>
      <c r="CK17" s="136">
        <v>0</v>
      </c>
      <c r="CL17" s="136">
        <v>0</v>
      </c>
      <c r="CM17" s="136">
        <v>0</v>
      </c>
      <c r="CN17" s="136">
        <v>0</v>
      </c>
      <c r="CO17" s="136">
        <v>0</v>
      </c>
      <c r="CP17" s="136">
        <v>0</v>
      </c>
      <c r="CQ17" s="136">
        <v>0</v>
      </c>
      <c r="CR17" s="136">
        <v>0</v>
      </c>
      <c r="CS17" s="136">
        <v>0</v>
      </c>
      <c r="CT17" s="136">
        <v>0</v>
      </c>
      <c r="CU17" s="136">
        <v>0</v>
      </c>
      <c r="CV17" s="136">
        <v>0</v>
      </c>
      <c r="CW17" s="136">
        <v>0</v>
      </c>
      <c r="CX17" s="136">
        <v>0</v>
      </c>
      <c r="CY17" s="145">
        <v>0</v>
      </c>
    </row>
    <row r="18" spans="1:105" x14ac:dyDescent="0.35">
      <c r="A18" s="25" t="s">
        <v>72</v>
      </c>
      <c r="B18" s="30" t="s">
        <v>32</v>
      </c>
      <c r="C18" s="27" t="s">
        <v>49</v>
      </c>
      <c r="D18" s="5">
        <f t="shared" ref="D18:AM18" si="58">SUM(D19:D22)</f>
        <v>989113.49000000011</v>
      </c>
      <c r="E18" s="3">
        <f t="shared" si="58"/>
        <v>990322.21</v>
      </c>
      <c r="F18" s="3">
        <f t="shared" si="58"/>
        <v>991721.32</v>
      </c>
      <c r="G18" s="3">
        <f t="shared" si="58"/>
        <v>792549.04999999993</v>
      </c>
      <c r="H18" s="3">
        <f t="shared" si="58"/>
        <v>792549.04999999993</v>
      </c>
      <c r="I18" s="3">
        <f t="shared" si="58"/>
        <v>787944.84</v>
      </c>
      <c r="J18" s="3">
        <f t="shared" si="58"/>
        <v>788627.96000000008</v>
      </c>
      <c r="K18" s="3">
        <f t="shared" si="58"/>
        <v>788847.77000000014</v>
      </c>
      <c r="L18" s="3">
        <f t="shared" si="58"/>
        <v>789271.44000000018</v>
      </c>
      <c r="M18" s="3">
        <f t="shared" si="58"/>
        <v>789929.83000000007</v>
      </c>
      <c r="N18" s="3">
        <f t="shared" si="58"/>
        <v>805938.21000000008</v>
      </c>
      <c r="O18" s="3">
        <f t="shared" si="58"/>
        <v>805763.65</v>
      </c>
      <c r="P18" s="63">
        <f t="shared" si="58"/>
        <v>806266.8600000001</v>
      </c>
      <c r="Q18" s="63">
        <f t="shared" si="58"/>
        <v>740891.34</v>
      </c>
      <c r="R18" s="63">
        <f t="shared" si="58"/>
        <v>741478.66</v>
      </c>
      <c r="S18" s="63">
        <f t="shared" si="58"/>
        <v>741986.47000000009</v>
      </c>
      <c r="T18" s="63">
        <f t="shared" si="58"/>
        <v>755397.69000000006</v>
      </c>
      <c r="U18" s="56">
        <f t="shared" si="58"/>
        <v>755939.87</v>
      </c>
      <c r="V18" s="56">
        <f t="shared" si="58"/>
        <v>756704.27</v>
      </c>
      <c r="W18" s="56">
        <f t="shared" si="58"/>
        <v>761001.11</v>
      </c>
      <c r="X18" s="56">
        <f t="shared" si="58"/>
        <v>760940.65</v>
      </c>
      <c r="Y18" s="56">
        <f t="shared" si="58"/>
        <v>761107.48999999987</v>
      </c>
      <c r="Z18" s="56">
        <f t="shared" si="58"/>
        <v>766969.1399999999</v>
      </c>
      <c r="AA18" s="56">
        <f t="shared" si="58"/>
        <v>767407.07</v>
      </c>
      <c r="AB18" s="56">
        <f t="shared" si="58"/>
        <v>780747.25</v>
      </c>
      <c r="AC18" s="56">
        <f t="shared" si="58"/>
        <v>802353.4800000001</v>
      </c>
      <c r="AD18" s="56">
        <f t="shared" si="58"/>
        <v>801759.88000000012</v>
      </c>
      <c r="AE18" s="56">
        <f t="shared" si="58"/>
        <v>743402.89399999997</v>
      </c>
      <c r="AF18" s="56">
        <f t="shared" si="58"/>
        <v>744573.73499999999</v>
      </c>
      <c r="AG18" s="56">
        <f t="shared" si="58"/>
        <v>674598.7699999999</v>
      </c>
      <c r="AH18" s="56">
        <f t="shared" si="58"/>
        <v>678934.25999999989</v>
      </c>
      <c r="AI18" s="56">
        <f t="shared" si="58"/>
        <v>684273.97</v>
      </c>
      <c r="AJ18" s="56">
        <f t="shared" si="58"/>
        <v>684611.69</v>
      </c>
      <c r="AK18" s="56">
        <f t="shared" si="58"/>
        <v>690011.32</v>
      </c>
      <c r="AL18" s="56">
        <f t="shared" si="58"/>
        <v>683623.72000000009</v>
      </c>
      <c r="AM18" s="56">
        <f t="shared" si="58"/>
        <v>688652.66</v>
      </c>
      <c r="AN18" s="56">
        <v>695725.39</v>
      </c>
      <c r="AO18" s="66">
        <v>701733.66</v>
      </c>
      <c r="AP18" s="67">
        <f>SUM(AP19:AP22)</f>
        <v>705739.45000000007</v>
      </c>
      <c r="AQ18" s="67">
        <f>SUM(AQ19:AQ22)</f>
        <v>683426.45000000007</v>
      </c>
      <c r="AR18" s="67">
        <v>689860.37</v>
      </c>
      <c r="AS18" s="78">
        <f t="shared" ref="AS18:BX18" si="59">SUM(AS19:AS22)</f>
        <v>681961.76</v>
      </c>
      <c r="AT18" s="78">
        <f t="shared" si="59"/>
        <v>686253.77364051004</v>
      </c>
      <c r="AU18" s="78">
        <f t="shared" si="59"/>
        <v>693883.75000000012</v>
      </c>
      <c r="AV18" s="78">
        <f t="shared" si="59"/>
        <v>694200.84000000008</v>
      </c>
      <c r="AW18" s="78">
        <f t="shared" si="59"/>
        <v>697420.50000000012</v>
      </c>
      <c r="AX18" s="78">
        <f t="shared" si="59"/>
        <v>697211.31</v>
      </c>
      <c r="AY18" s="78">
        <f t="shared" si="59"/>
        <v>697236.47999999998</v>
      </c>
      <c r="AZ18" s="67">
        <f t="shared" si="59"/>
        <v>702572.12</v>
      </c>
      <c r="BA18" s="67">
        <f t="shared" si="59"/>
        <v>710079.15</v>
      </c>
      <c r="BB18" s="67">
        <f t="shared" si="59"/>
        <v>710395.73</v>
      </c>
      <c r="BC18" s="67">
        <f t="shared" si="59"/>
        <v>723702.08</v>
      </c>
      <c r="BD18" s="67">
        <f t="shared" si="59"/>
        <v>724023.95</v>
      </c>
      <c r="BE18" s="66">
        <f t="shared" si="59"/>
        <v>724541.94000000006</v>
      </c>
      <c r="BF18" s="66">
        <f t="shared" si="59"/>
        <v>643142.22</v>
      </c>
      <c r="BG18" s="66">
        <f t="shared" si="59"/>
        <v>643507.61</v>
      </c>
      <c r="BH18" s="112">
        <f t="shared" si="59"/>
        <v>644102.98</v>
      </c>
      <c r="BI18" s="112">
        <f t="shared" si="59"/>
        <v>644703.78</v>
      </c>
      <c r="BJ18" s="112">
        <f t="shared" si="59"/>
        <v>644709.82000000007</v>
      </c>
      <c r="BK18" s="112">
        <f t="shared" si="59"/>
        <v>662007.39</v>
      </c>
      <c r="BL18" s="112">
        <f t="shared" si="59"/>
        <v>664728.33000000007</v>
      </c>
      <c r="BM18" s="112">
        <f t="shared" si="59"/>
        <v>643281.56000000006</v>
      </c>
      <c r="BN18" s="112">
        <f t="shared" si="59"/>
        <v>643401.29</v>
      </c>
      <c r="BO18" s="112">
        <f t="shared" si="59"/>
        <v>650287.34000000008</v>
      </c>
      <c r="BP18" s="112">
        <f t="shared" si="59"/>
        <v>650905.29</v>
      </c>
      <c r="BQ18" s="112">
        <f t="shared" si="59"/>
        <v>659101.37</v>
      </c>
      <c r="BR18" s="112">
        <f t="shared" si="59"/>
        <v>738793.88</v>
      </c>
      <c r="BS18" s="112">
        <f t="shared" si="59"/>
        <v>739138.02</v>
      </c>
      <c r="BT18" s="112">
        <f t="shared" si="59"/>
        <v>739637.95000000007</v>
      </c>
      <c r="BU18" s="112">
        <f t="shared" si="59"/>
        <v>740264.62</v>
      </c>
      <c r="BV18" s="112">
        <f t="shared" si="59"/>
        <v>734478.71000000008</v>
      </c>
      <c r="BW18" s="112">
        <f t="shared" si="59"/>
        <v>742715.83000000007</v>
      </c>
      <c r="BX18" s="112">
        <f t="shared" si="59"/>
        <v>742157.96000000008</v>
      </c>
      <c r="BY18" s="112">
        <f t="shared" ref="BY18:CX18" si="60">SUM(BY19:BY22)</f>
        <v>752608.81</v>
      </c>
      <c r="BZ18" s="112">
        <f t="shared" si="60"/>
        <v>752963.44000000006</v>
      </c>
      <c r="CA18" s="112">
        <f t="shared" si="60"/>
        <v>763756.93</v>
      </c>
      <c r="CB18" s="112">
        <f t="shared" si="60"/>
        <v>769576.12</v>
      </c>
      <c r="CC18" s="112">
        <f t="shared" si="60"/>
        <v>770442.41</v>
      </c>
      <c r="CD18" s="112">
        <f t="shared" si="60"/>
        <v>776519.6235407301</v>
      </c>
      <c r="CE18" s="112">
        <f t="shared" si="60"/>
        <v>787703.81</v>
      </c>
      <c r="CF18" s="112">
        <f t="shared" si="60"/>
        <v>794057.25</v>
      </c>
      <c r="CG18" s="112">
        <f t="shared" si="60"/>
        <v>751635.79</v>
      </c>
      <c r="CH18" s="112">
        <f t="shared" si="60"/>
        <v>752247.09</v>
      </c>
      <c r="CI18" s="112">
        <f t="shared" si="60"/>
        <v>705329.5</v>
      </c>
      <c r="CJ18" s="135">
        <f t="shared" si="60"/>
        <v>706249.26</v>
      </c>
      <c r="CK18" s="135">
        <f t="shared" si="60"/>
        <v>706249.26</v>
      </c>
      <c r="CL18" s="135">
        <f t="shared" si="60"/>
        <v>712654.15</v>
      </c>
      <c r="CM18" s="135">
        <f t="shared" si="60"/>
        <v>724164.74</v>
      </c>
      <c r="CN18" s="135">
        <f t="shared" si="60"/>
        <v>735350.64</v>
      </c>
      <c r="CO18" s="135">
        <f t="shared" si="60"/>
        <v>736067.94000000006</v>
      </c>
      <c r="CP18" s="135">
        <f t="shared" si="60"/>
        <v>743001.76</v>
      </c>
      <c r="CQ18" s="135">
        <f t="shared" si="60"/>
        <v>744109.55</v>
      </c>
      <c r="CR18" s="135">
        <f t="shared" si="60"/>
        <v>745024.16</v>
      </c>
      <c r="CS18" s="135">
        <f t="shared" si="60"/>
        <v>762408.3</v>
      </c>
      <c r="CT18" s="135">
        <f t="shared" si="60"/>
        <v>762397.53</v>
      </c>
      <c r="CU18" s="135">
        <f t="shared" si="60"/>
        <v>788947.47</v>
      </c>
      <c r="CV18" s="135">
        <f t="shared" si="60"/>
        <v>793369.69000000006</v>
      </c>
      <c r="CW18" s="135">
        <f t="shared" si="60"/>
        <v>801537.94000000006</v>
      </c>
      <c r="CX18" s="135">
        <f t="shared" si="60"/>
        <v>801785.42</v>
      </c>
      <c r="CY18" s="144">
        <f t="shared" ref="CY18" si="61">SUM(CY19:CY22)</f>
        <v>807549.19000000006</v>
      </c>
    </row>
    <row r="19" spans="1:105" x14ac:dyDescent="0.35">
      <c r="A19" s="25" t="s">
        <v>73</v>
      </c>
      <c r="B19" s="29" t="s">
        <v>29</v>
      </c>
      <c r="C19" s="27" t="s">
        <v>50</v>
      </c>
      <c r="D19" s="6">
        <f>791642.34-D14</f>
        <v>728993.25</v>
      </c>
      <c r="E19" s="4">
        <f>791091.15-E14</f>
        <v>729157.29</v>
      </c>
      <c r="F19" s="4">
        <f>791223.59-F14</f>
        <v>729289.73</v>
      </c>
      <c r="G19" s="4">
        <f>782211.1-G14</f>
        <v>721779.23</v>
      </c>
      <c r="H19" s="4">
        <f>782211.1-H14</f>
        <v>721779.23</v>
      </c>
      <c r="I19" s="4">
        <f>782832.35-I14</f>
        <v>722404.28</v>
      </c>
      <c r="J19" s="4">
        <f>783106.69-J14</f>
        <v>722678.62</v>
      </c>
      <c r="K19" s="4">
        <f>783275.08-K14</f>
        <v>722847.01</v>
      </c>
      <c r="L19" s="4">
        <f>783445.15-L14</f>
        <v>723017.08000000007</v>
      </c>
      <c r="M19" s="4">
        <f>783603.13-M14</f>
        <v>723175.06</v>
      </c>
      <c r="N19" s="4">
        <f>738932.01-N14</f>
        <v>738928.64000000001</v>
      </c>
      <c r="O19" s="4">
        <f>738798.55-O14</f>
        <v>738795.18</v>
      </c>
      <c r="P19" s="54">
        <f>738717.09-P14</f>
        <v>738713.72</v>
      </c>
      <c r="Q19" s="54">
        <f>744752.46-Q14</f>
        <v>672150.19</v>
      </c>
      <c r="R19" s="54">
        <f>744828.59-R14</f>
        <v>672226.32</v>
      </c>
      <c r="S19" s="54">
        <f>745245.81-S14</f>
        <v>672643.54</v>
      </c>
      <c r="T19" s="54">
        <f>753212.02-T14</f>
        <v>685520.75</v>
      </c>
      <c r="U19" s="55">
        <f>750328.04-U14</f>
        <v>685836.77</v>
      </c>
      <c r="V19" s="55">
        <f>750653.08-V14</f>
        <v>686161.80999999994</v>
      </c>
      <c r="W19" s="55">
        <f>758985.35-W14</f>
        <v>690494.08</v>
      </c>
      <c r="X19" s="55">
        <f>759241.43-X14</f>
        <v>690750.16</v>
      </c>
      <c r="Y19" s="55">
        <f>759503.69-Y14</f>
        <v>691012.41999999993</v>
      </c>
      <c r="Z19" s="55">
        <f>772935.2-Z14</f>
        <v>696956.42999999993</v>
      </c>
      <c r="AA19" s="55">
        <f>773218.48-AA14</f>
        <v>697239.71</v>
      </c>
      <c r="AB19" s="55">
        <f>786173.08-AB14</f>
        <v>710194.30999999994</v>
      </c>
      <c r="AC19" s="55">
        <f>742900.92-AC14</f>
        <v>731410.05</v>
      </c>
      <c r="AD19" s="55">
        <f>743108.92-AD14</f>
        <v>731618.05</v>
      </c>
      <c r="AE19" s="55">
        <f>743403.24-AE14</f>
        <v>673474.08</v>
      </c>
      <c r="AF19" s="55">
        <f>743822.9-AF14</f>
        <v>673893.74</v>
      </c>
      <c r="AG19" s="55">
        <f>744156.08-AG14</f>
        <v>674226.91999999993</v>
      </c>
      <c r="AH19" s="55">
        <f>748491.57-AH14</f>
        <v>678562.40999999992</v>
      </c>
      <c r="AI19" s="55">
        <f>749843.46-AI14</f>
        <v>683914.29999999993</v>
      </c>
      <c r="AJ19" s="55">
        <f>750181.19-AJ14</f>
        <v>684252.02999999991</v>
      </c>
      <c r="AK19" s="55">
        <f>755580.82-AK14</f>
        <v>689651.65999999992</v>
      </c>
      <c r="AL19" s="55">
        <f>741825.39-AL14</f>
        <v>683264.06</v>
      </c>
      <c r="AM19" s="55">
        <f>746912.59-AM14</f>
        <v>688351.26</v>
      </c>
      <c r="AN19" s="55">
        <v>695423.99</v>
      </c>
      <c r="AO19" s="8">
        <v>701432.26</v>
      </c>
      <c r="AP19" s="45">
        <v>705438.05</v>
      </c>
      <c r="AQ19" s="70">
        <v>683125.05</v>
      </c>
      <c r="AR19" s="70">
        <v>689558.97</v>
      </c>
      <c r="AS19" s="76">
        <v>681710.57</v>
      </c>
      <c r="AT19" s="8">
        <v>686002.58364050998</v>
      </c>
      <c r="AU19" s="8">
        <v>693632.56</v>
      </c>
      <c r="AV19" s="76">
        <v>693949.65</v>
      </c>
      <c r="AW19" s="76">
        <v>697169.31</v>
      </c>
      <c r="AX19" s="76">
        <v>696960.12</v>
      </c>
      <c r="AY19" s="76">
        <v>697035.5</v>
      </c>
      <c r="AZ19" s="46">
        <v>702371.14</v>
      </c>
      <c r="BA19" s="46">
        <v>709878.17</v>
      </c>
      <c r="BB19" s="46">
        <v>710194.75</v>
      </c>
      <c r="BC19" s="46">
        <v>723501.1</v>
      </c>
      <c r="BD19" s="46">
        <v>723822.97</v>
      </c>
      <c r="BE19" s="8">
        <v>724391.16</v>
      </c>
      <c r="BF19" s="8">
        <v>642991.43999999994</v>
      </c>
      <c r="BG19" s="8">
        <v>643356.82999999996</v>
      </c>
      <c r="BH19" s="109">
        <v>643952.19999999995</v>
      </c>
      <c r="BI19" s="109">
        <v>644553</v>
      </c>
      <c r="BJ19" s="109">
        <v>644559.04</v>
      </c>
      <c r="BK19" s="109">
        <v>661856.61</v>
      </c>
      <c r="BL19" s="109">
        <v>664627.76</v>
      </c>
      <c r="BM19" s="109">
        <v>643180.99</v>
      </c>
      <c r="BN19" s="109">
        <v>643300.72</v>
      </c>
      <c r="BO19" s="109">
        <v>650186.77</v>
      </c>
      <c r="BP19" s="109">
        <v>650804.72</v>
      </c>
      <c r="BQ19" s="109">
        <v>659101.22</v>
      </c>
      <c r="BR19" s="109">
        <v>738793.73</v>
      </c>
      <c r="BS19" s="109">
        <v>739137.87</v>
      </c>
      <c r="BT19" s="109">
        <v>739637.8</v>
      </c>
      <c r="BU19" s="109">
        <v>740264.47</v>
      </c>
      <c r="BV19" s="109">
        <v>734478.56</v>
      </c>
      <c r="BW19" s="109">
        <v>742715.68</v>
      </c>
      <c r="BX19" s="109">
        <v>742157.81</v>
      </c>
      <c r="BY19" s="109">
        <v>752608.66</v>
      </c>
      <c r="BZ19" s="109">
        <v>752963.29</v>
      </c>
      <c r="CA19" s="109">
        <v>763756.78</v>
      </c>
      <c r="CB19" s="109">
        <v>769575.97</v>
      </c>
      <c r="CC19" s="109">
        <v>770442.26</v>
      </c>
      <c r="CD19" s="109">
        <v>776519.47354073008</v>
      </c>
      <c r="CE19" s="109">
        <v>787703.66</v>
      </c>
      <c r="CF19" s="109">
        <v>794057.1</v>
      </c>
      <c r="CG19" s="109">
        <v>751635.64</v>
      </c>
      <c r="CH19" s="109">
        <v>752246.94</v>
      </c>
      <c r="CI19" s="109">
        <v>705329.35</v>
      </c>
      <c r="CJ19" s="136">
        <v>706249.11</v>
      </c>
      <c r="CK19" s="136">
        <v>706249.11</v>
      </c>
      <c r="CL19" s="136">
        <v>712654</v>
      </c>
      <c r="CM19" s="136">
        <v>724164.59</v>
      </c>
      <c r="CN19" s="136">
        <v>735350.49</v>
      </c>
      <c r="CO19" s="136">
        <v>736067.79</v>
      </c>
      <c r="CP19" s="136">
        <v>743001.61</v>
      </c>
      <c r="CQ19" s="136">
        <v>744109.4</v>
      </c>
      <c r="CR19" s="136">
        <v>745024.01</v>
      </c>
      <c r="CS19" s="136">
        <v>762408.15</v>
      </c>
      <c r="CT19" s="136">
        <v>762397.38</v>
      </c>
      <c r="CU19" s="136">
        <v>788947.32</v>
      </c>
      <c r="CV19" s="136">
        <v>793369.54</v>
      </c>
      <c r="CW19" s="136">
        <v>801537.79</v>
      </c>
      <c r="CX19" s="136">
        <v>801785.27</v>
      </c>
      <c r="CY19" s="145">
        <v>807549.04</v>
      </c>
    </row>
    <row r="20" spans="1:105" x14ac:dyDescent="0.35">
      <c r="A20" s="25" t="s">
        <v>74</v>
      </c>
      <c r="B20" s="29" t="s">
        <v>30</v>
      </c>
      <c r="C20" s="27" t="s">
        <v>51</v>
      </c>
      <c r="D20" s="6">
        <f>257548.98-D15</f>
        <v>257103.28</v>
      </c>
      <c r="E20" s="4">
        <f>258596.08-E15</f>
        <v>258148.56999999998</v>
      </c>
      <c r="F20" s="4">
        <f>259866.68-F15</f>
        <v>259415.85</v>
      </c>
      <c r="G20" s="4">
        <f>68207.22-G15</f>
        <v>67754.7</v>
      </c>
      <c r="H20" s="4">
        <f>68207.22-H15</f>
        <v>67754.7</v>
      </c>
      <c r="I20" s="4">
        <f>69156.07-I15</f>
        <v>62667.080000000009</v>
      </c>
      <c r="J20" s="4">
        <f>69608.58-J15</f>
        <v>63077.130000000005</v>
      </c>
      <c r="K20" s="4">
        <f>69665.33-K15</f>
        <v>63128.55</v>
      </c>
      <c r="L20" s="4">
        <f>69945.89-L15</f>
        <v>63382.79</v>
      </c>
      <c r="M20" s="4">
        <f>70498.82-M15</f>
        <v>63883.840000000011</v>
      </c>
      <c r="N20" s="4">
        <f>70311.13-N15</f>
        <v>64139.290000000008</v>
      </c>
      <c r="O20" s="4">
        <f>70420.7-O15</f>
        <v>64239.24</v>
      </c>
      <c r="P20" s="54">
        <f>71062.35-P15</f>
        <v>64824.570000000007</v>
      </c>
      <c r="Q20" s="54">
        <f>72364.68-Q15</f>
        <v>66012.579999999987</v>
      </c>
      <c r="R20" s="54">
        <f>72925.78-R15</f>
        <v>66524.429999999993</v>
      </c>
      <c r="S20" s="54">
        <f>73026.58-S15</f>
        <v>66616.38</v>
      </c>
      <c r="T20" s="54">
        <f>73611.97-T15</f>
        <v>67150.39</v>
      </c>
      <c r="U20" s="55">
        <f>67517.63-U15</f>
        <v>67517.63</v>
      </c>
      <c r="V20" s="55">
        <f>67957.68-V15</f>
        <v>67957.679999999993</v>
      </c>
      <c r="W20" s="55">
        <f>67922.25-W15</f>
        <v>67922.25</v>
      </c>
      <c r="X20" s="55">
        <v>67607.11</v>
      </c>
      <c r="Y20" s="55">
        <v>67511.679999999993</v>
      </c>
      <c r="Z20" s="55">
        <v>67430.73</v>
      </c>
      <c r="AA20" s="55">
        <v>67726.490000000005</v>
      </c>
      <c r="AB20" s="55">
        <v>68112.800000000003</v>
      </c>
      <c r="AC20" s="55">
        <v>68504</v>
      </c>
      <c r="AD20" s="55">
        <f>67703.12-AD15</f>
        <v>67703.12</v>
      </c>
      <c r="AE20" s="55">
        <f>67490.839-AE15</f>
        <v>67490.839000000007</v>
      </c>
      <c r="AF20" s="55">
        <f>68242.02-AF15</f>
        <v>68242.02</v>
      </c>
      <c r="AG20" s="55">
        <f t="shared" ref="AG20:AL20" si="62">0-AG15</f>
        <v>0</v>
      </c>
      <c r="AH20" s="55">
        <f t="shared" si="62"/>
        <v>0</v>
      </c>
      <c r="AI20" s="55">
        <f t="shared" si="62"/>
        <v>0</v>
      </c>
      <c r="AJ20" s="55">
        <f t="shared" si="62"/>
        <v>0</v>
      </c>
      <c r="AK20" s="55">
        <f t="shared" si="62"/>
        <v>0</v>
      </c>
      <c r="AL20" s="55">
        <f t="shared" si="62"/>
        <v>0</v>
      </c>
      <c r="AM20" s="55">
        <f>0-AM15</f>
        <v>0</v>
      </c>
      <c r="AN20" s="55">
        <v>0</v>
      </c>
      <c r="AO20" s="55">
        <v>0</v>
      </c>
      <c r="AP20" s="55">
        <v>0</v>
      </c>
      <c r="AQ20" s="65">
        <v>0</v>
      </c>
      <c r="AR20" s="65">
        <v>0</v>
      </c>
      <c r="AS20" s="77">
        <v>0</v>
      </c>
      <c r="AT20" s="76">
        <v>0</v>
      </c>
      <c r="AU20" s="76">
        <v>0</v>
      </c>
      <c r="AV20" s="75">
        <v>0</v>
      </c>
      <c r="AW20" s="75">
        <v>0</v>
      </c>
      <c r="AX20" s="76">
        <v>0</v>
      </c>
      <c r="AY20" s="76">
        <v>0</v>
      </c>
      <c r="AZ20" s="46">
        <v>0</v>
      </c>
      <c r="BA20" s="46">
        <v>0</v>
      </c>
      <c r="BB20" s="46">
        <v>0</v>
      </c>
      <c r="BC20" s="46">
        <v>0</v>
      </c>
      <c r="BD20" s="46">
        <v>0</v>
      </c>
      <c r="BE20" s="8">
        <v>0</v>
      </c>
      <c r="BF20" s="8">
        <v>0</v>
      </c>
      <c r="BG20" s="8">
        <v>0</v>
      </c>
      <c r="BH20" s="109">
        <v>0</v>
      </c>
      <c r="BI20" s="109">
        <v>0</v>
      </c>
      <c r="BJ20" s="109">
        <v>0</v>
      </c>
      <c r="BK20" s="109">
        <v>0</v>
      </c>
      <c r="BL20" s="109">
        <v>0</v>
      </c>
      <c r="BM20" s="109">
        <v>0</v>
      </c>
      <c r="BN20" s="109">
        <v>0</v>
      </c>
      <c r="BO20" s="109">
        <v>0</v>
      </c>
      <c r="BP20" s="109">
        <v>0</v>
      </c>
      <c r="BQ20" s="109">
        <v>0</v>
      </c>
      <c r="BR20" s="109">
        <v>0</v>
      </c>
      <c r="BS20" s="109">
        <v>0</v>
      </c>
      <c r="BT20" s="109">
        <v>0</v>
      </c>
      <c r="BU20" s="109">
        <v>0</v>
      </c>
      <c r="BV20" s="109">
        <v>0</v>
      </c>
      <c r="BW20" s="109">
        <v>0</v>
      </c>
      <c r="BX20" s="109">
        <v>0</v>
      </c>
      <c r="BY20" s="109">
        <v>0</v>
      </c>
      <c r="BZ20" s="109">
        <v>0</v>
      </c>
      <c r="CA20" s="109">
        <v>0</v>
      </c>
      <c r="CB20" s="109">
        <v>0</v>
      </c>
      <c r="CC20" s="109">
        <v>0</v>
      </c>
      <c r="CD20" s="109">
        <v>0</v>
      </c>
      <c r="CE20" s="109">
        <v>0</v>
      </c>
      <c r="CF20" s="109">
        <v>0</v>
      </c>
      <c r="CG20" s="109">
        <v>0</v>
      </c>
      <c r="CH20" s="109">
        <v>0</v>
      </c>
      <c r="CI20" s="109">
        <v>0</v>
      </c>
      <c r="CJ20" s="136">
        <v>0</v>
      </c>
      <c r="CK20" s="136">
        <v>0</v>
      </c>
      <c r="CL20" s="136">
        <v>0</v>
      </c>
      <c r="CM20" s="136">
        <v>0</v>
      </c>
      <c r="CN20" s="136">
        <v>0</v>
      </c>
      <c r="CO20" s="136">
        <v>0</v>
      </c>
      <c r="CP20" s="136">
        <v>0</v>
      </c>
      <c r="CQ20" s="136">
        <v>0</v>
      </c>
      <c r="CR20" s="136">
        <v>0</v>
      </c>
      <c r="CS20" s="136">
        <v>0</v>
      </c>
      <c r="CT20" s="136">
        <v>0</v>
      </c>
      <c r="CU20" s="136">
        <v>0</v>
      </c>
      <c r="CV20" s="136">
        <v>0</v>
      </c>
      <c r="CW20" s="136">
        <v>0</v>
      </c>
      <c r="CX20" s="136">
        <v>0</v>
      </c>
      <c r="CY20" s="145">
        <v>0</v>
      </c>
    </row>
    <row r="21" spans="1:105" x14ac:dyDescent="0.35">
      <c r="A21" s="25" t="s">
        <v>75</v>
      </c>
      <c r="B21" s="29" t="s">
        <v>33</v>
      </c>
      <c r="C21" s="27" t="s">
        <v>52</v>
      </c>
      <c r="D21" s="6">
        <v>3016.81</v>
      </c>
      <c r="E21" s="4">
        <v>3016.2</v>
      </c>
      <c r="F21" s="4">
        <v>3015.59</v>
      </c>
      <c r="G21" s="4">
        <v>3014.97</v>
      </c>
      <c r="H21" s="4">
        <v>3014.97</v>
      </c>
      <c r="I21" s="4">
        <v>2873.33</v>
      </c>
      <c r="J21" s="4">
        <v>2872.06</v>
      </c>
      <c r="K21" s="4">
        <v>2872.06</v>
      </c>
      <c r="L21" s="4">
        <v>2871.42</v>
      </c>
      <c r="M21" s="4">
        <v>2870.78</v>
      </c>
      <c r="N21" s="4">
        <v>2870.13</v>
      </c>
      <c r="O21" s="4">
        <f>2729.08</f>
        <v>2729.08</v>
      </c>
      <c r="P21" s="54">
        <f>2728.42</f>
        <v>2728.42</v>
      </c>
      <c r="Q21" s="54">
        <f>2728.42</f>
        <v>2728.42</v>
      </c>
      <c r="R21" s="54">
        <f>2727.76</f>
        <v>2727.76</v>
      </c>
      <c r="S21" s="54">
        <v>2726.4</v>
      </c>
      <c r="T21" s="54">
        <v>2726.4</v>
      </c>
      <c r="U21" s="55">
        <v>2585.3200000000002</v>
      </c>
      <c r="V21" s="55">
        <v>2584.63</v>
      </c>
      <c r="W21" s="55">
        <v>2584.63</v>
      </c>
      <c r="X21" s="55">
        <v>2583.23</v>
      </c>
      <c r="Y21" s="55">
        <v>2583.2399999999998</v>
      </c>
      <c r="Z21" s="55">
        <v>2581.83</v>
      </c>
      <c r="AA21" s="55">
        <v>2440.7199999999998</v>
      </c>
      <c r="AB21" s="55">
        <v>2439.9899999999998</v>
      </c>
      <c r="AC21" s="55">
        <v>2439.2800000000002</v>
      </c>
      <c r="AD21" s="55">
        <f>2438.56</f>
        <v>2438.56</v>
      </c>
      <c r="AE21" s="55">
        <f>2437.825</f>
        <v>2437.8249999999998</v>
      </c>
      <c r="AF21" s="55">
        <f>2437.825</f>
        <v>2437.8249999999998</v>
      </c>
      <c r="AG21" s="55">
        <f>2296.7-AG17</f>
        <v>371.69999999999982</v>
      </c>
      <c r="AH21" s="55">
        <f>2296.7-AH17</f>
        <v>371.69999999999982</v>
      </c>
      <c r="AI21" s="55">
        <f>2295.94-AI17</f>
        <v>359.52</v>
      </c>
      <c r="AJ21" s="55">
        <f>2294.44-AJ17</f>
        <v>359.51</v>
      </c>
      <c r="AK21" s="55">
        <f>2294.44-AK17</f>
        <v>359.51</v>
      </c>
      <c r="AL21" s="55">
        <f>2292.91-AL17</f>
        <v>359.50999999999976</v>
      </c>
      <c r="AM21" s="55">
        <f>2151.75-AM17</f>
        <v>301.25</v>
      </c>
      <c r="AN21" s="55">
        <v>301.25</v>
      </c>
      <c r="AO21" s="8">
        <v>301.24999999999977</v>
      </c>
      <c r="AP21" s="45">
        <v>301.25</v>
      </c>
      <c r="AQ21" s="70">
        <v>301.25</v>
      </c>
      <c r="AR21" s="70">
        <v>301.25</v>
      </c>
      <c r="AS21" s="27">
        <v>251.04</v>
      </c>
      <c r="AT21" s="76">
        <v>251.04</v>
      </c>
      <c r="AU21" s="76">
        <v>251.04</v>
      </c>
      <c r="AV21">
        <v>251.04</v>
      </c>
      <c r="AW21">
        <v>251.04</v>
      </c>
      <c r="AX21">
        <v>251.04</v>
      </c>
      <c r="AY21">
        <v>200.83</v>
      </c>
      <c r="AZ21" s="46">
        <v>200.83</v>
      </c>
      <c r="BA21" s="46">
        <v>200.83</v>
      </c>
      <c r="BB21" s="46">
        <v>200.83</v>
      </c>
      <c r="BC21" s="46">
        <v>200.83</v>
      </c>
      <c r="BD21" s="46">
        <v>200.83</v>
      </c>
      <c r="BE21" s="8">
        <v>150.63</v>
      </c>
      <c r="BF21" s="8">
        <v>150.63</v>
      </c>
      <c r="BG21" s="8">
        <v>150.63</v>
      </c>
      <c r="BH21" s="109">
        <v>150.63</v>
      </c>
      <c r="BI21" s="109">
        <v>150.63</v>
      </c>
      <c r="BJ21" s="109">
        <v>150.63</v>
      </c>
      <c r="BK21" s="109">
        <v>150.63</v>
      </c>
      <c r="BL21" s="109">
        <v>100.42</v>
      </c>
      <c r="BM21" s="109">
        <v>100.42</v>
      </c>
      <c r="BN21" s="109">
        <v>100.42</v>
      </c>
      <c r="BO21" s="109">
        <v>100.42</v>
      </c>
      <c r="BP21" s="109">
        <v>100.42</v>
      </c>
      <c r="BQ21" s="109">
        <v>0</v>
      </c>
      <c r="BR21" s="109">
        <v>0</v>
      </c>
      <c r="BS21" s="109">
        <v>0</v>
      </c>
      <c r="BT21" s="109">
        <v>0</v>
      </c>
      <c r="BU21" s="109">
        <v>0</v>
      </c>
      <c r="BV21" s="109">
        <v>0</v>
      </c>
      <c r="BW21" s="109">
        <v>0</v>
      </c>
      <c r="BX21" s="109">
        <v>0</v>
      </c>
      <c r="BY21" s="109">
        <v>0</v>
      </c>
      <c r="BZ21" s="109">
        <v>0</v>
      </c>
      <c r="CA21" s="109">
        <v>0</v>
      </c>
      <c r="CB21" s="109">
        <v>0</v>
      </c>
      <c r="CC21" s="109">
        <v>0</v>
      </c>
      <c r="CD21" s="109">
        <v>0</v>
      </c>
      <c r="CE21" s="109">
        <v>0</v>
      </c>
      <c r="CF21" s="109">
        <v>0</v>
      </c>
      <c r="CG21" s="109">
        <v>0</v>
      </c>
      <c r="CH21" s="109">
        <v>0</v>
      </c>
      <c r="CI21" s="109">
        <v>0</v>
      </c>
      <c r="CJ21" s="136">
        <v>0</v>
      </c>
      <c r="CK21" s="136">
        <v>0</v>
      </c>
      <c r="CL21" s="136">
        <v>0</v>
      </c>
      <c r="CM21" s="136">
        <v>0</v>
      </c>
      <c r="CN21" s="136">
        <v>0</v>
      </c>
      <c r="CO21" s="136">
        <v>0</v>
      </c>
      <c r="CP21" s="136">
        <v>0</v>
      </c>
      <c r="CQ21" s="136">
        <v>0</v>
      </c>
      <c r="CR21" s="136">
        <v>0</v>
      </c>
      <c r="CS21" s="136">
        <v>0</v>
      </c>
      <c r="CT21" s="136">
        <v>0</v>
      </c>
      <c r="CU21" s="136">
        <v>0</v>
      </c>
      <c r="CV21" s="136">
        <v>0</v>
      </c>
      <c r="CW21" s="136">
        <v>0</v>
      </c>
      <c r="CX21" s="136">
        <v>0</v>
      </c>
      <c r="CY21" s="145">
        <v>0</v>
      </c>
      <c r="DA21" s="141"/>
    </row>
    <row r="22" spans="1:105" x14ac:dyDescent="0.35">
      <c r="A22" s="25" t="s">
        <v>76</v>
      </c>
      <c r="B22" s="29" t="s">
        <v>34</v>
      </c>
      <c r="C22" s="27" t="s">
        <v>53</v>
      </c>
      <c r="D22" s="6">
        <v>0.15</v>
      </c>
      <c r="E22" s="4">
        <v>0.15</v>
      </c>
      <c r="F22" s="4">
        <v>0.15</v>
      </c>
      <c r="G22" s="4">
        <v>0.15</v>
      </c>
      <c r="H22" s="4">
        <v>0.15</v>
      </c>
      <c r="I22" s="4">
        <v>0.15</v>
      </c>
      <c r="J22" s="4">
        <v>0.15</v>
      </c>
      <c r="K22" s="4">
        <v>0.15</v>
      </c>
      <c r="L22" s="4">
        <v>0.15</v>
      </c>
      <c r="M22" s="4">
        <v>0.15</v>
      </c>
      <c r="N22" s="4">
        <v>0.15</v>
      </c>
      <c r="O22" s="4">
        <v>0.15</v>
      </c>
      <c r="P22" s="54">
        <v>0.15</v>
      </c>
      <c r="Q22" s="54">
        <v>0.15</v>
      </c>
      <c r="R22" s="54">
        <v>0.15</v>
      </c>
      <c r="S22" s="54">
        <v>0.15</v>
      </c>
      <c r="T22" s="54">
        <v>0.15</v>
      </c>
      <c r="U22" s="55">
        <v>0.15</v>
      </c>
      <c r="V22" s="55">
        <v>0.15</v>
      </c>
      <c r="W22" s="55">
        <v>0.15</v>
      </c>
      <c r="X22" s="55">
        <v>0.15</v>
      </c>
      <c r="Y22" s="55">
        <v>0.15</v>
      </c>
      <c r="Z22" s="55">
        <v>0.15</v>
      </c>
      <c r="AA22" s="57">
        <v>0.15</v>
      </c>
      <c r="AB22" s="55">
        <v>0.15</v>
      </c>
      <c r="AC22" s="55">
        <v>0.15</v>
      </c>
      <c r="AD22" s="55">
        <v>0.15</v>
      </c>
      <c r="AE22" s="55">
        <v>0.15</v>
      </c>
      <c r="AF22" s="55">
        <v>0.15</v>
      </c>
      <c r="AG22" s="55">
        <v>0.15</v>
      </c>
      <c r="AH22" s="55">
        <v>0.15</v>
      </c>
      <c r="AI22" s="55">
        <v>0.15</v>
      </c>
      <c r="AJ22" s="55">
        <v>0.15</v>
      </c>
      <c r="AK22" s="55">
        <v>0.15</v>
      </c>
      <c r="AL22" s="55">
        <v>0.15</v>
      </c>
      <c r="AM22" s="55">
        <v>0.15</v>
      </c>
      <c r="AN22" s="55">
        <v>0.15</v>
      </c>
      <c r="AO22" s="8">
        <v>0.15</v>
      </c>
      <c r="AP22" s="45">
        <v>0.15</v>
      </c>
      <c r="AQ22" s="70">
        <v>0.15</v>
      </c>
      <c r="AR22" s="70">
        <v>0.15</v>
      </c>
      <c r="AS22" s="27">
        <v>0.15</v>
      </c>
      <c r="AT22" s="76">
        <v>0.15</v>
      </c>
      <c r="AU22" s="76">
        <v>0.15</v>
      </c>
      <c r="AV22">
        <v>0.15</v>
      </c>
      <c r="AW22">
        <v>0.15</v>
      </c>
      <c r="AX22">
        <v>0.15</v>
      </c>
      <c r="AY22">
        <v>0.15</v>
      </c>
      <c r="AZ22" s="46">
        <v>0.15</v>
      </c>
      <c r="BA22" s="46">
        <v>0.15</v>
      </c>
      <c r="BB22" s="46">
        <v>0.15</v>
      </c>
      <c r="BC22" s="46">
        <v>0.15</v>
      </c>
      <c r="BD22" s="46">
        <v>0.15</v>
      </c>
      <c r="BE22" s="8">
        <v>0.15</v>
      </c>
      <c r="BF22" s="8">
        <v>0.15</v>
      </c>
      <c r="BG22" s="8">
        <v>0.15</v>
      </c>
      <c r="BH22" s="109">
        <v>0.15</v>
      </c>
      <c r="BI22" s="109">
        <v>0.15</v>
      </c>
      <c r="BJ22" s="109">
        <v>0.15</v>
      </c>
      <c r="BK22" s="109">
        <v>0.15</v>
      </c>
      <c r="BL22" s="109">
        <v>0.15</v>
      </c>
      <c r="BM22" s="109">
        <v>0.15</v>
      </c>
      <c r="BN22" s="109">
        <v>0.15</v>
      </c>
      <c r="BO22" s="109">
        <v>0.15</v>
      </c>
      <c r="BP22" s="109">
        <v>0.15</v>
      </c>
      <c r="BQ22" s="109">
        <v>0.15</v>
      </c>
      <c r="BR22" s="129">
        <v>0.15</v>
      </c>
      <c r="BS22" s="129">
        <v>0.15</v>
      </c>
      <c r="BT22" s="129">
        <v>0.15</v>
      </c>
      <c r="BU22" s="129">
        <v>0.15</v>
      </c>
      <c r="BV22" s="129">
        <v>0.15</v>
      </c>
      <c r="BW22" s="129">
        <v>0.15</v>
      </c>
      <c r="BX22" s="129">
        <v>0.15</v>
      </c>
      <c r="BY22" s="129">
        <v>0.15</v>
      </c>
      <c r="BZ22" s="109">
        <v>0.15</v>
      </c>
      <c r="CA22" s="109">
        <v>0.15</v>
      </c>
      <c r="CB22" s="109">
        <v>0.15</v>
      </c>
      <c r="CC22" s="109">
        <v>0.15</v>
      </c>
      <c r="CD22" s="109">
        <v>0.15</v>
      </c>
      <c r="CE22" s="109">
        <v>0.15</v>
      </c>
      <c r="CF22" s="109">
        <v>0.15</v>
      </c>
      <c r="CG22" s="109">
        <v>0.15</v>
      </c>
      <c r="CH22" s="109">
        <v>0.15</v>
      </c>
      <c r="CI22" s="109">
        <v>0.15</v>
      </c>
      <c r="CJ22" s="136">
        <v>0.15</v>
      </c>
      <c r="CK22" s="136">
        <v>0.15</v>
      </c>
      <c r="CL22" s="136">
        <v>0.15</v>
      </c>
      <c r="CM22" s="136">
        <v>0.15</v>
      </c>
      <c r="CN22" s="136">
        <v>0.15</v>
      </c>
      <c r="CO22" s="136">
        <v>0.15</v>
      </c>
      <c r="CP22" s="136">
        <v>0.15</v>
      </c>
      <c r="CQ22" s="136">
        <v>0.15</v>
      </c>
      <c r="CR22" s="136">
        <v>0.15</v>
      </c>
      <c r="CS22" s="136">
        <v>0.15</v>
      </c>
      <c r="CT22" s="136">
        <v>0.15</v>
      </c>
      <c r="CU22" s="136">
        <v>0.15</v>
      </c>
      <c r="CV22" s="136">
        <v>0.15</v>
      </c>
      <c r="CW22" s="136">
        <v>0.15</v>
      </c>
      <c r="CX22" s="140">
        <v>0.15</v>
      </c>
      <c r="CY22" s="146">
        <v>0.15</v>
      </c>
    </row>
    <row r="23" spans="1:105" x14ac:dyDescent="0.35">
      <c r="A23" s="25" t="s">
        <v>77</v>
      </c>
      <c r="B23" s="28" t="s">
        <v>35</v>
      </c>
      <c r="C23" s="27" t="s">
        <v>44</v>
      </c>
      <c r="D23" s="5">
        <f t="shared" ref="D23:O23" si="63">D24+D30</f>
        <v>988790.75936999987</v>
      </c>
      <c r="E23" s="3">
        <f t="shared" si="63"/>
        <v>989036.85355999996</v>
      </c>
      <c r="F23" s="3">
        <f t="shared" si="63"/>
        <v>969147.32040000008</v>
      </c>
      <c r="G23" s="3">
        <f t="shared" si="63"/>
        <v>1192676.7069599999</v>
      </c>
      <c r="H23" s="3">
        <f t="shared" si="63"/>
        <v>1216502.4066000003</v>
      </c>
      <c r="I23" s="3">
        <f t="shared" si="63"/>
        <v>1227864.9310200003</v>
      </c>
      <c r="J23" s="3">
        <f t="shared" si="63"/>
        <v>1230925.9461699999</v>
      </c>
      <c r="K23" s="3">
        <f t="shared" si="63"/>
        <v>1225944.9040000001</v>
      </c>
      <c r="L23" s="3">
        <f t="shared" si="63"/>
        <v>1241960.3099999998</v>
      </c>
      <c r="M23" s="3">
        <f t="shared" si="63"/>
        <v>1245463.3429700001</v>
      </c>
      <c r="N23" s="3">
        <f t="shared" si="63"/>
        <v>1249265.31006</v>
      </c>
      <c r="O23" s="3">
        <f t="shared" si="63"/>
        <v>1252810.9733400003</v>
      </c>
      <c r="P23" s="63">
        <f t="shared" ref="P23:W23" si="64">P24+P30</f>
        <v>1260519.15973</v>
      </c>
      <c r="Q23" s="63">
        <f t="shared" si="64"/>
        <v>1278616.3289400002</v>
      </c>
      <c r="R23" s="63">
        <f t="shared" si="64"/>
        <v>1292220.7340999998</v>
      </c>
      <c r="S23" s="63">
        <f t="shared" si="64"/>
        <v>1288413.09928</v>
      </c>
      <c r="T23" s="63">
        <f t="shared" si="64"/>
        <v>1309342.4064500001</v>
      </c>
      <c r="U23" s="56">
        <f t="shared" si="64"/>
        <v>1320210.2649599998</v>
      </c>
      <c r="V23" s="56">
        <f t="shared" si="64"/>
        <v>1322759.6212000002</v>
      </c>
      <c r="W23" s="56">
        <f t="shared" si="64"/>
        <v>1316276.2434599998</v>
      </c>
      <c r="X23" s="56">
        <f t="shared" ref="X23:AA23" si="65">X24+X30</f>
        <v>1315743.4576000003</v>
      </c>
      <c r="Y23" s="56">
        <f t="shared" si="65"/>
        <v>1313642.5281099998</v>
      </c>
      <c r="Z23" s="56">
        <f t="shared" si="65"/>
        <v>1306406.3199230002</v>
      </c>
      <c r="AA23" s="56">
        <f t="shared" si="65"/>
        <v>1310340.4601072001</v>
      </c>
      <c r="AB23" s="56">
        <f t="shared" ref="AB23:AD23" si="66">AB24+AB30</f>
        <v>1245446.7671700001</v>
      </c>
      <c r="AC23" s="56">
        <f t="shared" si="66"/>
        <v>1253003.2915399999</v>
      </c>
      <c r="AD23" s="56">
        <f t="shared" si="66"/>
        <v>1212205.5786000001</v>
      </c>
      <c r="AE23" s="56">
        <f t="shared" ref="AE23:AF23" si="67">AE24+AE30</f>
        <v>1215708.0604699999</v>
      </c>
      <c r="AF23" s="56">
        <f t="shared" si="67"/>
        <v>1321954.5215600003</v>
      </c>
      <c r="AG23" s="56">
        <f t="shared" ref="AG23:AI23" si="68">AG24+AG30</f>
        <v>1321587.4209999999</v>
      </c>
      <c r="AH23" s="56">
        <f t="shared" si="68"/>
        <v>1291515.5162</v>
      </c>
      <c r="AI23" s="56">
        <f t="shared" si="68"/>
        <v>1277101.58378</v>
      </c>
      <c r="AJ23" s="56">
        <f>AJ24+AJ30</f>
        <v>1262854.0411199997</v>
      </c>
      <c r="AK23" s="56">
        <f>AK24+AK30</f>
        <v>1267984.53116</v>
      </c>
      <c r="AL23" s="56">
        <f>AL24+AL30</f>
        <v>1292497.1669999997</v>
      </c>
      <c r="AM23" s="56">
        <f>AM24+AM30</f>
        <v>1271289.4379999998</v>
      </c>
      <c r="AN23" s="56">
        <v>1264164.06</v>
      </c>
      <c r="AO23" s="66">
        <v>1292672.1967500001</v>
      </c>
      <c r="AP23" s="67">
        <f>AP24+AP30</f>
        <v>1296092.1261200001</v>
      </c>
      <c r="AQ23" s="67">
        <f>AQ24+AQ30</f>
        <v>1344857.1571499999</v>
      </c>
      <c r="AR23" s="67">
        <v>1365820.5980999996</v>
      </c>
      <c r="AS23" s="78">
        <f t="shared" ref="AS23:AX23" si="69">AS24+AS30</f>
        <v>1340273.0387200001</v>
      </c>
      <c r="AT23" s="66">
        <f t="shared" si="69"/>
        <v>1275211.3199999998</v>
      </c>
      <c r="AU23" s="66">
        <f t="shared" si="69"/>
        <v>1265271.5691899997</v>
      </c>
      <c r="AV23" s="92">
        <f t="shared" si="69"/>
        <v>1269063.51</v>
      </c>
      <c r="AW23" s="92">
        <f t="shared" si="69"/>
        <v>1348877.5699999998</v>
      </c>
      <c r="AX23" s="78">
        <f t="shared" si="69"/>
        <v>1273779.3599999999</v>
      </c>
      <c r="AY23" s="78">
        <f t="shared" ref="AY23:BF23" si="70">AY24+AY30</f>
        <v>1248680.6200000001</v>
      </c>
      <c r="AZ23" s="67">
        <f t="shared" si="70"/>
        <v>1332157.5699999998</v>
      </c>
      <c r="BA23" s="67">
        <f t="shared" si="70"/>
        <v>1309567.93</v>
      </c>
      <c r="BB23" s="67">
        <f t="shared" si="70"/>
        <v>1280942.6299999999</v>
      </c>
      <c r="BC23" s="67">
        <f t="shared" si="70"/>
        <v>1330156.46</v>
      </c>
      <c r="BD23" s="67">
        <f t="shared" si="70"/>
        <v>1336460.52</v>
      </c>
      <c r="BE23" s="66">
        <f t="shared" si="70"/>
        <v>1249991.9099999999</v>
      </c>
      <c r="BF23" s="66">
        <f t="shared" si="70"/>
        <v>1294109.96</v>
      </c>
      <c r="BG23" s="66">
        <f t="shared" ref="BG23:BL23" si="71">BG24+BG30</f>
        <v>1255361.1800000002</v>
      </c>
      <c r="BH23" s="112">
        <f t="shared" si="71"/>
        <v>1226710.01</v>
      </c>
      <c r="BI23" s="112">
        <f t="shared" si="71"/>
        <v>1299876.3099999998</v>
      </c>
      <c r="BJ23" s="112">
        <f t="shared" si="71"/>
        <v>1260541.3999999999</v>
      </c>
      <c r="BK23" s="112">
        <f t="shared" si="71"/>
        <v>1246281.79</v>
      </c>
      <c r="BL23" s="112">
        <f t="shared" si="71"/>
        <v>1318028.97</v>
      </c>
      <c r="BM23" s="112">
        <f t="shared" ref="BM23:BS23" si="72">BM24+BM30</f>
        <v>1320057.9699532001</v>
      </c>
      <c r="BN23" s="112">
        <f t="shared" si="72"/>
        <v>1284671.8399999999</v>
      </c>
      <c r="BO23" s="112">
        <f t="shared" si="72"/>
        <v>1351858.9200000002</v>
      </c>
      <c r="BP23" s="112">
        <f t="shared" si="72"/>
        <v>1359536.8719199998</v>
      </c>
      <c r="BQ23" s="112">
        <f t="shared" si="72"/>
        <v>1294020.51</v>
      </c>
      <c r="BR23" s="112">
        <f t="shared" si="72"/>
        <v>1305847.9400000002</v>
      </c>
      <c r="BS23" s="112">
        <f t="shared" si="72"/>
        <v>1348908.23</v>
      </c>
      <c r="BT23" s="112">
        <f t="shared" ref="BT23:BU23" si="73">BT24+BT30</f>
        <v>1309502.03</v>
      </c>
      <c r="BU23" s="112">
        <f t="shared" si="73"/>
        <v>1365516.95</v>
      </c>
      <c r="BV23" s="112">
        <f t="shared" ref="BV23" si="74">BV24+BV30</f>
        <v>1383403.06</v>
      </c>
      <c r="BW23" s="112">
        <f t="shared" ref="BW23:CB23" si="75">BW24+BW30</f>
        <v>1357335.5104400001</v>
      </c>
      <c r="BX23" s="112">
        <f t="shared" si="75"/>
        <v>1435682.86</v>
      </c>
      <c r="BY23" s="112">
        <f t="shared" si="75"/>
        <v>1387173.15</v>
      </c>
      <c r="BZ23" s="112">
        <f t="shared" si="75"/>
        <v>1379498.44</v>
      </c>
      <c r="CA23" s="112">
        <f t="shared" si="75"/>
        <v>1427882.04</v>
      </c>
      <c r="CB23" s="112">
        <f t="shared" si="75"/>
        <v>1401609.8199999998</v>
      </c>
      <c r="CC23" s="112">
        <f t="shared" ref="CC23" si="76">CC24+CC30</f>
        <v>1352746.2711099999</v>
      </c>
      <c r="CD23" s="112">
        <f t="shared" ref="CD23:CJ23" si="77">CD24+CD30</f>
        <v>1426752.0783299999</v>
      </c>
      <c r="CE23" s="112">
        <f t="shared" si="77"/>
        <v>1432061.33</v>
      </c>
      <c r="CF23" s="112">
        <f t="shared" si="77"/>
        <v>1421286.6343200002</v>
      </c>
      <c r="CG23" s="112">
        <f t="shared" si="77"/>
        <v>1400399.97596</v>
      </c>
      <c r="CH23" s="112">
        <f t="shared" si="77"/>
        <v>1409069.84</v>
      </c>
      <c r="CI23" s="112">
        <f t="shared" si="77"/>
        <v>1390049.0789999999</v>
      </c>
      <c r="CJ23" s="135">
        <f t="shared" si="77"/>
        <v>1412092.589952</v>
      </c>
      <c r="CK23" s="135">
        <f t="shared" ref="CK23:CL23" si="78">CK24+CK30</f>
        <v>1409973.97</v>
      </c>
      <c r="CL23" s="135">
        <f t="shared" si="78"/>
        <v>1379673.39466</v>
      </c>
      <c r="CM23" s="135">
        <f t="shared" ref="CM23:CN23" si="79">CM24+CM30</f>
        <v>1390553.0004960001</v>
      </c>
      <c r="CN23" s="135">
        <f t="shared" si="79"/>
        <v>1375965.52</v>
      </c>
      <c r="CO23" s="135">
        <f t="shared" ref="CO23:CP23" si="80">CO24+CO30</f>
        <v>1383166.25</v>
      </c>
      <c r="CP23" s="135">
        <f t="shared" si="80"/>
        <v>1393554.8969999999</v>
      </c>
      <c r="CQ23" s="135">
        <f t="shared" ref="CQ23:CR23" si="81">CQ24+CQ30</f>
        <v>1397152.5059359998</v>
      </c>
      <c r="CR23" s="135">
        <f t="shared" si="81"/>
        <v>1370556.5699999998</v>
      </c>
      <c r="CS23" s="135">
        <f t="shared" ref="CS23:CT23" si="82">CS24+CS30</f>
        <v>1387187.3118100001</v>
      </c>
      <c r="CT23" s="135">
        <f t="shared" si="82"/>
        <v>1379266.3399999999</v>
      </c>
      <c r="CU23" s="135">
        <f t="shared" ref="CU23:CV23" si="83">CU24+CU30</f>
        <v>1353074.4999999998</v>
      </c>
      <c r="CV23" s="135">
        <f t="shared" si="83"/>
        <v>1373849.5398600001</v>
      </c>
      <c r="CW23" s="135">
        <f t="shared" ref="CW23" si="84">CW24+CW30</f>
        <v>1392502.21</v>
      </c>
      <c r="CX23" s="135">
        <f>CX24+CX30</f>
        <v>1381633.19</v>
      </c>
      <c r="CY23" s="144">
        <f>CY24+CY30</f>
        <v>1363956.75</v>
      </c>
    </row>
    <row r="24" spans="1:105" x14ac:dyDescent="0.35">
      <c r="A24" s="25" t="s">
        <v>78</v>
      </c>
      <c r="B24" s="30" t="s">
        <v>36</v>
      </c>
      <c r="C24" s="27" t="s">
        <v>54</v>
      </c>
      <c r="D24" s="5">
        <f t="shared" ref="D24:O24" si="85">SUM(D25:D29)</f>
        <v>77695.080780000004</v>
      </c>
      <c r="E24" s="3">
        <f t="shared" si="85"/>
        <v>75607.229530000011</v>
      </c>
      <c r="F24" s="3">
        <f t="shared" si="85"/>
        <v>41540.734320000003</v>
      </c>
      <c r="G24" s="3">
        <f t="shared" si="85"/>
        <v>24411.99222</v>
      </c>
      <c r="H24" s="3">
        <f t="shared" si="85"/>
        <v>41956.486799999999</v>
      </c>
      <c r="I24" s="3">
        <f t="shared" si="85"/>
        <v>39288.248999999996</v>
      </c>
      <c r="J24" s="3">
        <f t="shared" si="85"/>
        <v>34248.642940000005</v>
      </c>
      <c r="K24" s="3">
        <f t="shared" si="85"/>
        <v>30978.435600000001</v>
      </c>
      <c r="L24" s="3">
        <f t="shared" si="85"/>
        <v>39303.455999999998</v>
      </c>
      <c r="M24" s="3">
        <f t="shared" si="85"/>
        <v>32616.648960000002</v>
      </c>
      <c r="N24" s="3">
        <f t="shared" si="85"/>
        <v>39455.742359999997</v>
      </c>
      <c r="O24" s="3">
        <f t="shared" si="85"/>
        <v>3954.1640400000001</v>
      </c>
      <c r="P24" s="63">
        <f t="shared" ref="P24:W24" si="86">SUM(P25:P29)</f>
        <v>4655.22498</v>
      </c>
      <c r="Q24" s="63">
        <f t="shared" si="86"/>
        <v>5731.2872699999998</v>
      </c>
      <c r="R24" s="63">
        <f t="shared" si="86"/>
        <v>5927.3861499999994</v>
      </c>
      <c r="S24" s="63">
        <f t="shared" si="86"/>
        <v>5796.3655600000002</v>
      </c>
      <c r="T24" s="63">
        <f t="shared" si="86"/>
        <v>5919.3732799999998</v>
      </c>
      <c r="U24" s="56">
        <f t="shared" si="86"/>
        <v>6003.0547200000001</v>
      </c>
      <c r="V24" s="56">
        <f t="shared" si="86"/>
        <v>6339.124240000001</v>
      </c>
      <c r="W24" s="56">
        <f t="shared" si="86"/>
        <v>6490.666729999999</v>
      </c>
      <c r="X24" s="56">
        <f t="shared" ref="X24:AA24" si="87">SUM(X25:X29)</f>
        <v>17082.573200000003</v>
      </c>
      <c r="Y24" s="56">
        <f t="shared" si="87"/>
        <v>16814.76801</v>
      </c>
      <c r="Z24" s="56">
        <f t="shared" si="87"/>
        <v>16257.843622999999</v>
      </c>
      <c r="AA24" s="56">
        <f t="shared" si="87"/>
        <v>16145.160255999999</v>
      </c>
      <c r="AB24" s="56">
        <f t="shared" ref="AB24:AC24" si="88">SUM(AB25:AB29)</f>
        <v>15440.139252000001</v>
      </c>
      <c r="AC24" s="56">
        <f t="shared" si="88"/>
        <v>15539.229419999998</v>
      </c>
      <c r="AD24" s="56">
        <f t="shared" ref="AD24:AJ24" si="89">SUM(AD25:AD29)</f>
        <v>5289.1213360000002</v>
      </c>
      <c r="AE24" s="56">
        <f t="shared" si="89"/>
        <v>5282.6434000000008</v>
      </c>
      <c r="AF24" s="56">
        <f t="shared" si="89"/>
        <v>7130.5630000000001</v>
      </c>
      <c r="AG24" s="56">
        <f t="shared" si="89"/>
        <v>6820.2749999999996</v>
      </c>
      <c r="AH24" s="56">
        <f t="shared" si="89"/>
        <v>5969.7509199999995</v>
      </c>
      <c r="AI24" s="56">
        <f t="shared" si="89"/>
        <v>6530.8766599999999</v>
      </c>
      <c r="AJ24" s="56">
        <f t="shared" si="89"/>
        <v>6725.0215199999993</v>
      </c>
      <c r="AK24" s="56">
        <f t="shared" ref="AK24:AL24" si="90">SUM(AK25:AK29)</f>
        <v>6971.49496</v>
      </c>
      <c r="AL24" s="56">
        <f t="shared" si="90"/>
        <v>6369.2561399999995</v>
      </c>
      <c r="AM24" s="56">
        <f t="shared" ref="AM24" si="91">SUM(AM25:AM29)</f>
        <v>18494.597999999998</v>
      </c>
      <c r="AN24" s="56">
        <v>6867.6</v>
      </c>
      <c r="AO24" s="66">
        <v>6599.7690000000002</v>
      </c>
      <c r="AP24" s="67">
        <f>SUM(AP25:AP29)</f>
        <v>18196.661670000001</v>
      </c>
      <c r="AQ24" s="67">
        <f>SUM(AQ25:AQ29)</f>
        <v>18352.567150000003</v>
      </c>
      <c r="AR24" s="67">
        <v>17579.120039999998</v>
      </c>
      <c r="AS24" s="78">
        <f t="shared" ref="AS24:AX24" si="92">SUM(AS25:AS29)</f>
        <v>16977.620220000004</v>
      </c>
      <c r="AT24" s="67">
        <f t="shared" si="92"/>
        <v>15842.89</v>
      </c>
      <c r="AU24" s="67">
        <f t="shared" si="92"/>
        <v>15501.210000000001</v>
      </c>
      <c r="AV24" s="92">
        <f t="shared" si="92"/>
        <v>15351.49</v>
      </c>
      <c r="AW24" s="92">
        <f t="shared" si="92"/>
        <v>16100.630000000001</v>
      </c>
      <c r="AX24" s="78">
        <f t="shared" si="92"/>
        <v>15031.699999999999</v>
      </c>
      <c r="AY24" s="78">
        <f t="shared" ref="AY24:BF24" si="93">SUM(AY25:AY29)</f>
        <v>14278.08</v>
      </c>
      <c r="AZ24" s="67">
        <f t="shared" si="93"/>
        <v>14845.69</v>
      </c>
      <c r="BA24" s="67">
        <f t="shared" si="93"/>
        <v>17479.22</v>
      </c>
      <c r="BB24" s="67">
        <f t="shared" si="93"/>
        <v>5753.9</v>
      </c>
      <c r="BC24" s="67">
        <f t="shared" si="93"/>
        <v>6954.51</v>
      </c>
      <c r="BD24" s="67">
        <f t="shared" si="93"/>
        <v>6689.33</v>
      </c>
      <c r="BE24" s="66">
        <f t="shared" si="93"/>
        <v>6122.71</v>
      </c>
      <c r="BF24" s="66">
        <f t="shared" si="93"/>
        <v>6319.48</v>
      </c>
      <c r="BG24" s="66">
        <f t="shared" ref="BG24:BH24" si="94">SUM(BG25:BG29)</f>
        <v>5758.6100000000006</v>
      </c>
      <c r="BH24" s="112">
        <f t="shared" si="94"/>
        <v>5687.21</v>
      </c>
      <c r="BI24" s="112">
        <f t="shared" ref="BI24:BJ24" si="95">SUM(BI25:BI29)</f>
        <v>6234.89</v>
      </c>
      <c r="BJ24" s="112">
        <f t="shared" si="95"/>
        <v>5986.79</v>
      </c>
      <c r="BK24" s="112">
        <f t="shared" ref="BK24" si="96">SUM(BK25:BK29)</f>
        <v>4271.58</v>
      </c>
      <c r="BL24" s="112">
        <f t="shared" ref="BL24:BQ24" si="97">SUM(BL25:BL29)</f>
        <v>4016.9400000000005</v>
      </c>
      <c r="BM24" s="112">
        <f t="shared" si="97"/>
        <v>1822.29</v>
      </c>
      <c r="BN24" s="112">
        <f t="shared" si="97"/>
        <v>1764.1399999999999</v>
      </c>
      <c r="BO24" s="112">
        <f t="shared" si="97"/>
        <v>2502.5299999999997</v>
      </c>
      <c r="BP24" s="112">
        <f t="shared" si="97"/>
        <v>2522.9700000000003</v>
      </c>
      <c r="BQ24" s="112">
        <f t="shared" si="97"/>
        <v>2429.9899999999998</v>
      </c>
      <c r="BR24" s="112">
        <f t="shared" ref="BR24:BS24" si="98">SUM(BR25:BR29)</f>
        <v>2599.0500000000002</v>
      </c>
      <c r="BS24" s="112">
        <f t="shared" si="98"/>
        <v>2084.2999999999997</v>
      </c>
      <c r="BT24" s="112">
        <f t="shared" ref="BT24:BU24" si="99">SUM(BT25:BT29)</f>
        <v>2416.48</v>
      </c>
      <c r="BU24" s="112">
        <f t="shared" si="99"/>
        <v>2109.5500000000002</v>
      </c>
      <c r="BV24" s="112">
        <f t="shared" ref="BV24:BW24" si="100">SUM(BV25:BV29)</f>
        <v>2081.5899999999997</v>
      </c>
      <c r="BW24" s="112">
        <f t="shared" si="100"/>
        <v>2162.0756799999999</v>
      </c>
      <c r="BX24" s="112">
        <f t="shared" ref="BX24:BY24" si="101">SUM(BX25:BX29)</f>
        <v>2206.6</v>
      </c>
      <c r="BY24" s="112">
        <f t="shared" si="101"/>
        <v>2099.9</v>
      </c>
      <c r="BZ24" s="112">
        <f t="shared" ref="BZ24:CA24" si="102">SUM(BZ25:BZ29)</f>
        <v>1797.9399999999998</v>
      </c>
      <c r="CA24" s="112">
        <f t="shared" si="102"/>
        <v>1545.87</v>
      </c>
      <c r="CB24" s="112">
        <f t="shared" ref="CB24:CC24" si="103">SUM(CB25:CB29)</f>
        <v>1501.1389999999999</v>
      </c>
      <c r="CC24" s="112">
        <f t="shared" si="103"/>
        <v>1384.0945400000001</v>
      </c>
      <c r="CD24" s="112">
        <f t="shared" ref="CD24:CE24" si="104">SUM(CD25:CD29)</f>
        <v>1494.3235199999999</v>
      </c>
      <c r="CE24" s="112">
        <f t="shared" si="104"/>
        <v>1441.38</v>
      </c>
      <c r="CF24" s="112">
        <f t="shared" ref="CF24:CG24" si="105">SUM(CF25:CF29)</f>
        <v>930.52679999999987</v>
      </c>
      <c r="CG24" s="112">
        <f t="shared" si="105"/>
        <v>1272.1770899999999</v>
      </c>
      <c r="CH24" s="112">
        <f t="shared" ref="CH24:CJ24" si="106">SUM(CH25:CH29)</f>
        <v>1644.7199999999998</v>
      </c>
      <c r="CI24" s="112">
        <f t="shared" si="106"/>
        <v>1510.12</v>
      </c>
      <c r="CJ24" s="135">
        <f t="shared" si="106"/>
        <v>1409.18</v>
      </c>
      <c r="CK24" s="135">
        <f t="shared" ref="CK24:CL24" si="107">SUM(CK25:CK29)</f>
        <v>1409.71</v>
      </c>
      <c r="CL24" s="135">
        <f t="shared" si="107"/>
        <v>1332.1948199999999</v>
      </c>
      <c r="CM24" s="135">
        <f t="shared" ref="CM24:CN24" si="108">SUM(CM25:CM29)</f>
        <v>1427.328606</v>
      </c>
      <c r="CN24" s="135">
        <f t="shared" si="108"/>
        <v>1144.5900000000001</v>
      </c>
      <c r="CO24" s="135">
        <f t="shared" ref="CO24:CP24" si="109">SUM(CO25:CO29)</f>
        <v>1045.29</v>
      </c>
      <c r="CP24" s="135">
        <f t="shared" si="109"/>
        <v>885.9670000000001</v>
      </c>
      <c r="CQ24" s="135">
        <f t="shared" ref="CQ24:CR24" si="110">SUM(CQ25:CQ29)</f>
        <v>884.9572159999999</v>
      </c>
      <c r="CR24" s="135">
        <f t="shared" si="110"/>
        <v>982.25</v>
      </c>
      <c r="CS24" s="135">
        <f t="shared" ref="CS24:CT24" si="111">SUM(CS25:CS29)</f>
        <v>944.65445499999998</v>
      </c>
      <c r="CT24" s="135">
        <f t="shared" si="111"/>
        <v>1332.66</v>
      </c>
      <c r="CU24" s="135">
        <f t="shared" ref="CU24:CV24" si="112">SUM(CU25:CU29)</f>
        <v>728.91</v>
      </c>
      <c r="CV24" s="135">
        <f t="shared" si="112"/>
        <v>737.43360600000005</v>
      </c>
      <c r="CW24" s="135">
        <f t="shared" ref="CW24" si="113">SUM(CW25:CW29)</f>
        <v>688.77</v>
      </c>
      <c r="CX24" s="135">
        <f>SUM(CX25:CX29)</f>
        <v>603.02</v>
      </c>
      <c r="CY24" s="144">
        <f>SUM(CY25:CY29)</f>
        <v>712.16000000000008</v>
      </c>
    </row>
    <row r="25" spans="1:105" x14ac:dyDescent="0.35">
      <c r="A25" s="25" t="s">
        <v>79</v>
      </c>
      <c r="B25" s="29" t="s">
        <v>37</v>
      </c>
      <c r="C25" s="27" t="s">
        <v>55</v>
      </c>
      <c r="D25" s="6">
        <f>35.3*115.6521</f>
        <v>4082.5191299999997</v>
      </c>
      <c r="E25" s="4">
        <f>31.7*116.1223</f>
        <v>3681.0769099999998</v>
      </c>
      <c r="F25" s="4">
        <f>29.4*116.9832</f>
        <v>3439.3060799999998</v>
      </c>
      <c r="G25" s="4">
        <f>24.7*117.4218</f>
        <v>2900.31846</v>
      </c>
      <c r="H25" s="4">
        <f>80.8*117.8553</f>
        <v>9522.7082399999999</v>
      </c>
      <c r="I25" s="4">
        <f>72.3*119.0553</f>
        <v>8607.6981899999992</v>
      </c>
      <c r="J25" s="4">
        <f>67.7*119.8343</f>
        <v>8112.7821100000001</v>
      </c>
      <c r="K25" s="4">
        <f>64.7*119.932</f>
        <v>7759.6004000000003</v>
      </c>
      <c r="L25" s="4">
        <f>79.9*120.415</f>
        <v>9621.1585000000014</v>
      </c>
      <c r="M25" s="4">
        <f>36*121.3417</f>
        <v>4368.3011999999999</v>
      </c>
      <c r="N25" s="4">
        <f>81.8*121.8522</f>
        <v>9967.5099599999994</v>
      </c>
      <c r="O25" s="4">
        <f>24.8*122.0421</f>
        <v>3026.64408</v>
      </c>
      <c r="P25" s="54">
        <f>27.3*123.1541</f>
        <v>3362.1069299999999</v>
      </c>
      <c r="Q25" s="54">
        <f>33.5*125.4111</f>
        <v>4201.2718500000001</v>
      </c>
      <c r="R25" s="54">
        <f>33.3*126.3835</f>
        <v>4208.5705499999995</v>
      </c>
      <c r="S25" s="54">
        <f>33.2*126.5582</f>
        <v>4201.7322400000003</v>
      </c>
      <c r="T25" s="54">
        <f>33.7*127.5727</f>
        <v>4299.1999900000001</v>
      </c>
      <c r="U25" s="55">
        <f>30.7*128.2704</f>
        <v>3937.9012799999996</v>
      </c>
      <c r="V25" s="55">
        <f>27.2*129.1064</f>
        <v>3511.6940800000002</v>
      </c>
      <c r="W25" s="55">
        <f>28.2*129.0391</f>
        <v>3638.9026199999998</v>
      </c>
      <c r="X25" s="55">
        <f>28.4*128.4404</f>
        <v>3647.7073600000003</v>
      </c>
      <c r="Y25" s="55">
        <f>26.9*128.2591</f>
        <v>3450.1697899999995</v>
      </c>
      <c r="Z25" s="55">
        <f>26.1*128.1053</f>
        <v>3343.5483300000001</v>
      </c>
      <c r="AA25" s="55">
        <f>26.12*128.6672</f>
        <v>3360.7872640000005</v>
      </c>
      <c r="AB25" s="55">
        <f>26.12*129.4011</f>
        <v>3379.9567320000006</v>
      </c>
      <c r="AC25" s="55">
        <f>25.6*130.1443</f>
        <v>3331.6940799999998</v>
      </c>
      <c r="AD25" s="55">
        <f>25.3*128.6288</f>
        <v>3254.3086400000002</v>
      </c>
      <c r="AE25" s="55">
        <f>25.17*128.2195</f>
        <v>3227.2848150000004</v>
      </c>
      <c r="AF25" s="55">
        <f>25.2*129.6466</f>
        <v>3267.0943200000002</v>
      </c>
      <c r="AG25" s="55">
        <f>25.2*129.91</f>
        <v>3273.732</v>
      </c>
      <c r="AH25" s="55">
        <f>26.2*127.2868</f>
        <v>3334.9141599999998</v>
      </c>
      <c r="AI25" s="55">
        <f>31*126.0787</f>
        <v>3908.4396999999999</v>
      </c>
      <c r="AJ25" s="55">
        <f>30.4*125.0004</f>
        <v>3800.0121599999998</v>
      </c>
      <c r="AK25" s="55">
        <f>27.5*125.3866</f>
        <v>3448.1315</v>
      </c>
      <c r="AL25" s="55">
        <f>28.7*128.154</f>
        <v>3678.0198</v>
      </c>
      <c r="AM25" s="55">
        <f>28.3*125.985</f>
        <v>3565.3755000000001</v>
      </c>
      <c r="AN25" s="55">
        <v>3659.38</v>
      </c>
      <c r="AO25" s="8">
        <v>3376.6259999999997</v>
      </c>
      <c r="AP25" s="45">
        <v>3442.3435199999994</v>
      </c>
      <c r="AQ25" s="69">
        <v>3575.7031200000001</v>
      </c>
      <c r="AR25" s="69">
        <v>3507.5708999999997</v>
      </c>
      <c r="AS25" s="8">
        <v>3295.5762400000003</v>
      </c>
      <c r="AT25" s="8">
        <v>3137.72</v>
      </c>
      <c r="AU25" s="8">
        <v>2849.77</v>
      </c>
      <c r="AV25" s="93">
        <v>3039.65</v>
      </c>
      <c r="AW25" s="93">
        <v>3225.57</v>
      </c>
      <c r="AX25" s="76">
        <v>3052.71</v>
      </c>
      <c r="AY25" s="76">
        <v>2162.58</v>
      </c>
      <c r="AZ25" s="46">
        <v>2307.83</v>
      </c>
      <c r="BA25" s="46">
        <v>2231.39</v>
      </c>
      <c r="BB25" s="46">
        <v>2201.9499999999998</v>
      </c>
      <c r="BC25" s="46">
        <v>2227.08</v>
      </c>
      <c r="BD25" s="46">
        <v>2726.4</v>
      </c>
      <c r="BE25" s="45">
        <v>2757.25</v>
      </c>
      <c r="BF25" s="45">
        <v>2872.49</v>
      </c>
      <c r="BG25" s="45">
        <v>2566.9299999999998</v>
      </c>
      <c r="BH25" s="110">
        <v>2744.18</v>
      </c>
      <c r="BI25" s="110">
        <v>2933.15</v>
      </c>
      <c r="BJ25" s="110">
        <v>2890.65</v>
      </c>
      <c r="BK25" s="110">
        <v>1225.29</v>
      </c>
      <c r="BL25" s="110">
        <v>814.82</v>
      </c>
      <c r="BM25" s="110">
        <v>817.88</v>
      </c>
      <c r="BN25" s="110">
        <v>798.06</v>
      </c>
      <c r="BO25" s="110">
        <v>1565.04</v>
      </c>
      <c r="BP25" s="110">
        <v>1582.45</v>
      </c>
      <c r="BQ25" s="110">
        <v>1534.73</v>
      </c>
      <c r="BR25" s="110">
        <v>1742.38</v>
      </c>
      <c r="BS25" s="110">
        <v>1776.06</v>
      </c>
      <c r="BT25" s="110">
        <v>1560.58</v>
      </c>
      <c r="BU25" s="110">
        <v>1256.75</v>
      </c>
      <c r="BV25" s="110">
        <v>1200.33</v>
      </c>
      <c r="BW25" s="110">
        <v>1143.3341399999999</v>
      </c>
      <c r="BX25" s="110">
        <v>1157.31</v>
      </c>
      <c r="BY25" s="110">
        <v>1118.6500000000001</v>
      </c>
      <c r="BZ25" s="109">
        <v>1104.07</v>
      </c>
      <c r="CA25" s="109">
        <v>726.56</v>
      </c>
      <c r="CB25" s="109">
        <v>717.87</v>
      </c>
      <c r="CC25" s="109">
        <v>662.59844999999996</v>
      </c>
      <c r="CD25" s="109">
        <v>669.33240999999998</v>
      </c>
      <c r="CE25" s="109">
        <v>673.69</v>
      </c>
      <c r="CF25" s="109">
        <v>480.77217999999999</v>
      </c>
      <c r="CG25" s="109">
        <v>628.23559999999998</v>
      </c>
      <c r="CH25" s="109">
        <v>622.41</v>
      </c>
      <c r="CI25" s="109">
        <v>612.04</v>
      </c>
      <c r="CJ25" s="136">
        <v>596.19000000000005</v>
      </c>
      <c r="CK25" s="136">
        <v>592.66999999999996</v>
      </c>
      <c r="CL25" s="136">
        <v>578.95155999999997</v>
      </c>
      <c r="CM25" s="136">
        <v>800.47169400000007</v>
      </c>
      <c r="CN25" s="136">
        <v>707.98</v>
      </c>
      <c r="CO25" s="136">
        <v>695.33</v>
      </c>
      <c r="CP25" s="136">
        <v>569.37400000000002</v>
      </c>
      <c r="CQ25" s="136">
        <v>577.07874399999992</v>
      </c>
      <c r="CR25" s="136">
        <v>679.67</v>
      </c>
      <c r="CS25" s="136">
        <v>702.71195999999998</v>
      </c>
      <c r="CT25" s="136">
        <v>687.08</v>
      </c>
      <c r="CU25" s="136">
        <v>679.11</v>
      </c>
      <c r="CV25" s="136">
        <v>688.37357400000008</v>
      </c>
      <c r="CW25" s="136">
        <v>688.77</v>
      </c>
      <c r="CX25" s="136">
        <v>599.92999999999995</v>
      </c>
      <c r="CY25" s="145">
        <v>608.98</v>
      </c>
    </row>
    <row r="26" spans="1:105" x14ac:dyDescent="0.35">
      <c r="A26" s="25" t="s">
        <v>80</v>
      </c>
      <c r="B26" s="29" t="s">
        <v>38</v>
      </c>
      <c r="C26" s="27" t="s">
        <v>56</v>
      </c>
      <c r="D26" s="6">
        <f>170*115.6521</f>
        <v>19660.857</v>
      </c>
      <c r="E26" s="4">
        <f>161.3*116.1223</f>
        <v>18730.526990000002</v>
      </c>
      <c r="F26" s="4">
        <f>135.3*116.9832</f>
        <v>15827.82696</v>
      </c>
      <c r="G26" s="4">
        <f>122.7*117.4218</f>
        <v>14407.654860000001</v>
      </c>
      <c r="H26" s="4">
        <f>186.8*117.8553</f>
        <v>22015.370040000002</v>
      </c>
      <c r="I26" s="4">
        <f>171.4*119.0553</f>
        <v>20406.078420000002</v>
      </c>
      <c r="J26" s="4">
        <f>150.3*119.8343</f>
        <v>18011.095290000001</v>
      </c>
      <c r="K26" s="4">
        <f>143.9*119.932</f>
        <v>17258.214800000002</v>
      </c>
      <c r="L26" s="4">
        <f>161.9*120.415</f>
        <v>19495.1885</v>
      </c>
      <c r="M26" s="4">
        <f>148.2*121.3417</f>
        <v>17982.839939999998</v>
      </c>
      <c r="N26" s="4">
        <f>158.7*121.8522</f>
        <v>19337.94414</v>
      </c>
      <c r="O26" s="4">
        <f>5.4*122.0421</f>
        <v>659.02734000000009</v>
      </c>
      <c r="P26" s="54">
        <f>10.5*123.1541</f>
        <v>1293.11805</v>
      </c>
      <c r="Q26" s="54">
        <f>12.2*125.4111</f>
        <v>1530.0154199999999</v>
      </c>
      <c r="R26" s="54">
        <f>12.1*126.3835</f>
        <v>1529.24035</v>
      </c>
      <c r="S26" s="54">
        <f>11.1*126.5582</f>
        <v>1404.79602</v>
      </c>
      <c r="T26" s="54">
        <f>11.1*127.5727</f>
        <v>1416.0569699999999</v>
      </c>
      <c r="U26" s="55">
        <f>14.5*128.2704</f>
        <v>1859.9207999999999</v>
      </c>
      <c r="V26" s="55">
        <f>10*129.1064</f>
        <v>1291.0640000000001</v>
      </c>
      <c r="W26" s="55">
        <f>10.3*129.0391</f>
        <v>1329.1027300000001</v>
      </c>
      <c r="X26" s="55">
        <f>10.2*128.4404</f>
        <v>1310.0920800000001</v>
      </c>
      <c r="Y26" s="55">
        <f>10.2*128.2591</f>
        <v>1308.2428199999997</v>
      </c>
      <c r="Z26" s="55">
        <f>7*128.1053</f>
        <v>896.73710000000005</v>
      </c>
      <c r="AA26" s="55">
        <f>4.27*128.6672</f>
        <v>549.40894400000002</v>
      </c>
      <c r="AB26" s="55">
        <f>3.1*129.4011</f>
        <v>401.14341000000007</v>
      </c>
      <c r="AC26" s="55">
        <f>3.4*130.1443</f>
        <v>442.49061999999992</v>
      </c>
      <c r="AD26" s="55">
        <f>3.42*128.6228</f>
        <v>439.88997600000005</v>
      </c>
      <c r="AE26" s="55">
        <f>3.42*128.2195</f>
        <v>438.51069000000001</v>
      </c>
      <c r="AF26" s="55">
        <f>17.2*129.6466</f>
        <v>2229.9215199999999</v>
      </c>
      <c r="AG26" s="55">
        <f>15.7*129.91</f>
        <v>2039.5869999999998</v>
      </c>
      <c r="AH26" s="55">
        <f>15.7*127.2868</f>
        <v>1998.4027599999999</v>
      </c>
      <c r="AI26" s="55">
        <f>15.8*126.0787</f>
        <v>1992.0434600000001</v>
      </c>
      <c r="AJ26" s="55">
        <f>15.8*125.0004</f>
        <v>1975.0063200000002</v>
      </c>
      <c r="AK26" s="55">
        <f>20.2*125.3866</f>
        <v>2532.8093199999998</v>
      </c>
      <c r="AL26" s="55">
        <f>13.2*128.154</f>
        <v>1691.6327999999999</v>
      </c>
      <c r="AM26" s="55">
        <f>12.4*125.985</f>
        <v>1562.2139999999999</v>
      </c>
      <c r="AN26" s="55">
        <v>1566.51</v>
      </c>
      <c r="AO26" s="8">
        <v>1573.2007500000002</v>
      </c>
      <c r="AP26" s="45">
        <v>1603.8191400000001</v>
      </c>
      <c r="AQ26" s="69">
        <v>1665.9525900000001</v>
      </c>
      <c r="AR26" s="69">
        <v>756.53489999999988</v>
      </c>
      <c r="AS26" s="8">
        <v>607.79070000000002</v>
      </c>
      <c r="AT26" s="8">
        <v>668.69</v>
      </c>
      <c r="AU26" s="8">
        <v>690.08</v>
      </c>
      <c r="AV26" s="93">
        <v>727.98</v>
      </c>
      <c r="AW26" s="93">
        <v>449.13</v>
      </c>
      <c r="AX26">
        <v>218.97</v>
      </c>
      <c r="AY26">
        <v>569.1</v>
      </c>
      <c r="AZ26" s="46">
        <v>634.32000000000005</v>
      </c>
      <c r="BA26" s="46">
        <v>624.26</v>
      </c>
      <c r="BB26" s="46">
        <v>655.34</v>
      </c>
      <c r="BC26" s="46">
        <v>983.74</v>
      </c>
      <c r="BD26" s="46">
        <v>988.67</v>
      </c>
      <c r="BE26" s="8">
        <v>527.12</v>
      </c>
      <c r="BF26" s="8">
        <v>448.39</v>
      </c>
      <c r="BG26" s="8">
        <v>1738.45</v>
      </c>
      <c r="BH26" s="109">
        <v>1551.06</v>
      </c>
      <c r="BI26" s="109">
        <v>1779.38</v>
      </c>
      <c r="BJ26" s="109">
        <v>1630.27</v>
      </c>
      <c r="BK26" s="109">
        <v>1624.69</v>
      </c>
      <c r="BL26" s="109">
        <v>1701.13</v>
      </c>
      <c r="BM26" s="109">
        <v>1004.41</v>
      </c>
      <c r="BN26" s="109">
        <v>966.08</v>
      </c>
      <c r="BO26" s="109">
        <v>937.49</v>
      </c>
      <c r="BP26" s="109">
        <v>940.52</v>
      </c>
      <c r="BQ26" s="109">
        <v>895.26</v>
      </c>
      <c r="BR26" s="109">
        <v>856.67</v>
      </c>
      <c r="BS26" s="109">
        <v>132.1</v>
      </c>
      <c r="BT26" s="109">
        <v>684.72</v>
      </c>
      <c r="BU26" s="109">
        <v>673.26</v>
      </c>
      <c r="BV26" s="109">
        <v>698.93</v>
      </c>
      <c r="BW26" s="109">
        <v>850.17153999999994</v>
      </c>
      <c r="BX26" s="109">
        <v>879.55</v>
      </c>
      <c r="BY26" s="109">
        <v>911.05</v>
      </c>
      <c r="BZ26" s="109">
        <v>623.77</v>
      </c>
      <c r="CA26" s="109">
        <v>742.02</v>
      </c>
      <c r="CB26" s="109">
        <v>711.78599999999994</v>
      </c>
      <c r="CC26" s="109">
        <v>647.87404000000004</v>
      </c>
      <c r="CD26" s="109">
        <v>747.16176000000007</v>
      </c>
      <c r="CE26" s="109">
        <v>767.69</v>
      </c>
      <c r="CF26" s="109">
        <v>449.75461999999993</v>
      </c>
      <c r="CG26" s="109">
        <v>643.94148999999993</v>
      </c>
      <c r="CH26" s="109">
        <v>1022.31</v>
      </c>
      <c r="CI26" s="109">
        <v>898.08</v>
      </c>
      <c r="CJ26" s="136">
        <v>812.99</v>
      </c>
      <c r="CK26" s="136">
        <v>817.04</v>
      </c>
      <c r="CL26" s="136">
        <v>753.24325999999996</v>
      </c>
      <c r="CM26" s="136">
        <v>626.85691200000008</v>
      </c>
      <c r="CN26" s="136">
        <v>436.61</v>
      </c>
      <c r="CO26" s="136">
        <v>349.96</v>
      </c>
      <c r="CP26" s="136">
        <v>316.59300000000002</v>
      </c>
      <c r="CQ26" s="136">
        <v>307.87847199999999</v>
      </c>
      <c r="CR26" s="136">
        <v>302.58</v>
      </c>
      <c r="CS26" s="136">
        <v>241.94249500000001</v>
      </c>
      <c r="CT26" s="136">
        <v>645.58000000000004</v>
      </c>
      <c r="CU26" s="136">
        <v>49.8</v>
      </c>
      <c r="CV26" s="136">
        <v>49.060032</v>
      </c>
      <c r="CW26" s="136">
        <v>0</v>
      </c>
      <c r="CX26" s="136">
        <v>3.09</v>
      </c>
      <c r="CY26" s="145">
        <v>103.18</v>
      </c>
    </row>
    <row r="27" spans="1:105" x14ac:dyDescent="0.35">
      <c r="A27" s="25" t="s">
        <v>81</v>
      </c>
      <c r="B27" s="29" t="s">
        <v>39</v>
      </c>
      <c r="C27" s="27" t="s">
        <v>57</v>
      </c>
      <c r="D27" s="6">
        <f>55.1*115.6521</f>
        <v>6372.4307100000005</v>
      </c>
      <c r="E27" s="4">
        <f>54.6*116.1223</f>
        <v>6340.2775799999999</v>
      </c>
      <c r="F27" s="4">
        <f>49.8*116.9832</f>
        <v>5825.7633599999999</v>
      </c>
      <c r="G27" s="4">
        <f>49.8*117.4218</f>
        <v>5847.6056399999998</v>
      </c>
      <c r="H27" s="4">
        <f>76.4*117.8553</f>
        <v>9004.1449200000006</v>
      </c>
      <c r="I27" s="4">
        <f>74.6*119.0553</f>
        <v>8881.5253799999991</v>
      </c>
      <c r="J27" s="4">
        <f>56.1*119.8343</f>
        <v>6722.7042300000003</v>
      </c>
      <c r="K27" s="4">
        <f>45.9*119.932</f>
        <v>5504.8787999999995</v>
      </c>
      <c r="L27" s="4">
        <f>67.2*120.415</f>
        <v>8091.8880000000008</v>
      </c>
      <c r="M27" s="4">
        <f>67.2*121.3417</f>
        <v>8154.1622400000006</v>
      </c>
      <c r="N27" s="4">
        <f>66.5*121.8522</f>
        <v>8103.1713</v>
      </c>
      <c r="O27" s="4">
        <f>2.2*122.0421</f>
        <v>268.49262000000004</v>
      </c>
      <c r="P27" s="54">
        <f>0</f>
        <v>0</v>
      </c>
      <c r="Q27" s="54">
        <f>0</f>
        <v>0</v>
      </c>
      <c r="R27" s="54">
        <f>1.5*126.3835</f>
        <v>189.57524999999998</v>
      </c>
      <c r="S27" s="54">
        <f>1.5*126.5582</f>
        <v>189.8373</v>
      </c>
      <c r="T27" s="54">
        <f>1.6*127.5727</f>
        <v>204.11632</v>
      </c>
      <c r="U27" s="55">
        <f>1.6*128.2704</f>
        <v>205.23264</v>
      </c>
      <c r="V27" s="55">
        <f>11.9*129.1064</f>
        <v>1536.36616</v>
      </c>
      <c r="W27" s="55">
        <f>11.8*129.0391</f>
        <v>1522.66138</v>
      </c>
      <c r="X27" s="55">
        <f>15.4*128.4404</f>
        <v>1977.9821600000002</v>
      </c>
      <c r="Y27" s="55">
        <f>15.7*128.2591</f>
        <v>2013.6678699999998</v>
      </c>
      <c r="Z27" s="55">
        <f>15.51*128.1053</f>
        <v>1986.9132030000001</v>
      </c>
      <c r="AA27" s="55">
        <f>16.04*128.6672</f>
        <v>2063.8218879999999</v>
      </c>
      <c r="AB27" s="55">
        <f>11.1*129.4011</f>
        <v>1436.35221</v>
      </c>
      <c r="AC27" s="55">
        <f>11.4*130.1443</f>
        <v>1483.6450199999999</v>
      </c>
      <c r="AD27" s="55">
        <f>12.4*128.6228</f>
        <v>1594.9227200000003</v>
      </c>
      <c r="AE27" s="55">
        <f>12.61*128.2195</f>
        <v>1616.8478950000001</v>
      </c>
      <c r="AF27" s="55">
        <f>12.6*129.6466</f>
        <v>1633.5471600000001</v>
      </c>
      <c r="AG27" s="55">
        <f>11.6*129.91</f>
        <v>1506.9559999999999</v>
      </c>
      <c r="AH27" s="55">
        <f>5*127.2868</f>
        <v>636.43399999999997</v>
      </c>
      <c r="AI27" s="55">
        <f>5*126.0787</f>
        <v>630.39350000000002</v>
      </c>
      <c r="AJ27" s="55">
        <f>7.6*125.0004</f>
        <v>950.00303999999994</v>
      </c>
      <c r="AK27" s="55">
        <f>7.9*125.3866</f>
        <v>990.55414000000007</v>
      </c>
      <c r="AL27" s="55">
        <f>7.8*128.1543</f>
        <v>999.60354000000007</v>
      </c>
      <c r="AM27" s="55">
        <f>6.8*125.985</f>
        <v>856.69799999999998</v>
      </c>
      <c r="AN27" s="55">
        <v>1641.71</v>
      </c>
      <c r="AO27" s="8">
        <v>1649.9422500000001</v>
      </c>
      <c r="AP27" s="45">
        <v>1649.9422500000001</v>
      </c>
      <c r="AQ27" s="69">
        <v>1164.8123800000001</v>
      </c>
      <c r="AR27" s="69">
        <v>1182.9454799999999</v>
      </c>
      <c r="AS27" s="8">
        <v>1161.55556</v>
      </c>
      <c r="AT27" s="8">
        <v>694.41</v>
      </c>
      <c r="AU27" s="8">
        <v>690.08</v>
      </c>
      <c r="AV27" s="93">
        <v>319.29000000000002</v>
      </c>
      <c r="AW27" s="93">
        <v>421.91</v>
      </c>
      <c r="AX27" s="75">
        <v>399.3</v>
      </c>
      <c r="AY27" s="75">
        <v>392.05</v>
      </c>
      <c r="AZ27" s="46">
        <v>0</v>
      </c>
      <c r="BA27" s="46">
        <v>2908.78</v>
      </c>
      <c r="BB27" s="46">
        <v>2896.61</v>
      </c>
      <c r="BC27" s="46">
        <v>3743.69</v>
      </c>
      <c r="BD27" s="46">
        <v>2974.26</v>
      </c>
      <c r="BE27" s="8">
        <v>2838.34</v>
      </c>
      <c r="BF27" s="8">
        <v>2998.6</v>
      </c>
      <c r="BG27" s="8">
        <v>1453.23</v>
      </c>
      <c r="BH27" s="109">
        <v>1391.97</v>
      </c>
      <c r="BI27" s="109">
        <v>1522.36</v>
      </c>
      <c r="BJ27" s="109">
        <v>1465.87</v>
      </c>
      <c r="BK27" s="109">
        <v>1421.6</v>
      </c>
      <c r="BL27" s="109">
        <v>1500.99</v>
      </c>
      <c r="BM27" s="109">
        <v>0</v>
      </c>
      <c r="BN27" s="109">
        <v>0</v>
      </c>
      <c r="BO27" s="109">
        <v>0</v>
      </c>
      <c r="BP27" s="109">
        <v>0</v>
      </c>
      <c r="BQ27" s="109">
        <v>0</v>
      </c>
      <c r="BR27" s="109">
        <v>0</v>
      </c>
      <c r="BS27" s="109">
        <v>0</v>
      </c>
      <c r="BT27" s="109">
        <v>0</v>
      </c>
      <c r="BU27" s="109">
        <v>0</v>
      </c>
      <c r="BV27" s="109">
        <v>0</v>
      </c>
      <c r="BW27" s="109">
        <v>0</v>
      </c>
      <c r="BX27" s="109">
        <v>0</v>
      </c>
      <c r="BY27" s="109">
        <v>0</v>
      </c>
      <c r="BZ27" s="109">
        <v>0</v>
      </c>
      <c r="CA27" s="109">
        <v>0</v>
      </c>
      <c r="CB27" s="109">
        <v>0</v>
      </c>
      <c r="CC27" s="109">
        <v>0</v>
      </c>
      <c r="CD27" s="109">
        <v>0</v>
      </c>
      <c r="CE27" s="109">
        <v>0</v>
      </c>
      <c r="CF27" s="109">
        <v>0</v>
      </c>
      <c r="CG27" s="109">
        <v>0</v>
      </c>
      <c r="CH27" s="109">
        <v>0</v>
      </c>
      <c r="CI27" s="109">
        <v>0</v>
      </c>
      <c r="CJ27" s="136">
        <v>0</v>
      </c>
      <c r="CK27" s="136">
        <v>0</v>
      </c>
      <c r="CL27" s="136">
        <v>0</v>
      </c>
      <c r="CM27" s="136">
        <v>0</v>
      </c>
      <c r="CN27" s="136">
        <v>0</v>
      </c>
      <c r="CO27" s="136">
        <v>0</v>
      </c>
      <c r="CP27" s="136">
        <v>0</v>
      </c>
      <c r="CQ27" s="136">
        <v>0</v>
      </c>
      <c r="CR27" s="136">
        <v>0</v>
      </c>
      <c r="CS27" s="136">
        <v>0</v>
      </c>
      <c r="CT27" s="136">
        <v>0</v>
      </c>
      <c r="CU27" s="136">
        <v>0</v>
      </c>
      <c r="CV27" s="136">
        <v>0</v>
      </c>
      <c r="CW27" s="136">
        <v>0</v>
      </c>
      <c r="CX27" s="136">
        <v>0</v>
      </c>
      <c r="CY27" s="145">
        <v>0</v>
      </c>
    </row>
    <row r="28" spans="1:105" x14ac:dyDescent="0.35">
      <c r="A28" s="25" t="s">
        <v>82</v>
      </c>
      <c r="B28" s="29" t="s">
        <v>40</v>
      </c>
      <c r="C28" s="27" t="s">
        <v>58</v>
      </c>
      <c r="D28" s="6">
        <f>1.4*115.6521</f>
        <v>161.91293999999999</v>
      </c>
      <c r="E28" s="4">
        <f>1.4*116.1223</f>
        <v>162.57121999999998</v>
      </c>
      <c r="F28" s="4">
        <f>0.6*116.9832</f>
        <v>70.189920000000001</v>
      </c>
      <c r="G28" s="4">
        <f>0.6*117.4218</f>
        <v>70.45308</v>
      </c>
      <c r="H28" s="4">
        <f>1.9*117.8553</f>
        <v>223.92506999999998</v>
      </c>
      <c r="I28" s="4">
        <f>1.6*119.0553</f>
        <v>190.48848000000001</v>
      </c>
      <c r="J28" s="4">
        <f>1.6*119.8343</f>
        <v>191.73488</v>
      </c>
      <c r="K28" s="4">
        <f>1.6*119.932</f>
        <v>191.89120000000003</v>
      </c>
      <c r="L28" s="4">
        <f>1.6*120.415</f>
        <v>192.66400000000002</v>
      </c>
      <c r="M28" s="4">
        <f>1.6*121.3417</f>
        <v>194.14672000000002</v>
      </c>
      <c r="N28" s="4">
        <f>1*121.8522</f>
        <v>121.8522</v>
      </c>
      <c r="O28" s="4">
        <v>0</v>
      </c>
      <c r="P28" s="54">
        <v>0</v>
      </c>
      <c r="Q28" s="54">
        <v>0</v>
      </c>
      <c r="R28" s="54">
        <v>0</v>
      </c>
      <c r="S28" s="54">
        <v>0</v>
      </c>
      <c r="T28" s="54">
        <v>0</v>
      </c>
      <c r="U28" s="55">
        <v>0</v>
      </c>
      <c r="V28" s="55">
        <v>0</v>
      </c>
      <c r="W28" s="55">
        <v>0</v>
      </c>
      <c r="X28" s="55">
        <v>0</v>
      </c>
      <c r="Y28" s="55">
        <v>0</v>
      </c>
      <c r="Z28" s="55">
        <v>0</v>
      </c>
      <c r="AA28" s="55">
        <v>0</v>
      </c>
      <c r="AB28" s="55">
        <v>0</v>
      </c>
      <c r="AC28" s="55">
        <v>0</v>
      </c>
      <c r="AD28" s="55">
        <v>0</v>
      </c>
      <c r="AE28" s="59">
        <v>0</v>
      </c>
      <c r="AF28" s="59">
        <v>0</v>
      </c>
      <c r="AG28" s="59">
        <v>0</v>
      </c>
      <c r="AH28" s="59">
        <v>0</v>
      </c>
      <c r="AI28" s="58">
        <f>0*126.0787</f>
        <v>0</v>
      </c>
      <c r="AJ28" s="58">
        <f>0*125.0004</f>
        <v>0</v>
      </c>
      <c r="AK28" s="58">
        <f>0*1253866</f>
        <v>0</v>
      </c>
      <c r="AL28" s="55">
        <f>0*128.154</f>
        <v>0</v>
      </c>
      <c r="AM28" s="55">
        <f>0*125.985</f>
        <v>0</v>
      </c>
      <c r="AN28" s="55">
        <v>0</v>
      </c>
      <c r="AO28" s="55">
        <v>0</v>
      </c>
      <c r="AP28" s="55">
        <v>0</v>
      </c>
      <c r="AQ28" s="65">
        <v>0</v>
      </c>
      <c r="AR28" s="65">
        <v>0</v>
      </c>
      <c r="AS28" s="77">
        <v>0</v>
      </c>
      <c r="AT28" s="8">
        <v>0</v>
      </c>
      <c r="AU28" s="8">
        <v>0</v>
      </c>
      <c r="AV28" s="93">
        <v>0</v>
      </c>
      <c r="AW28" s="93">
        <v>0</v>
      </c>
      <c r="AX28" s="76">
        <v>0</v>
      </c>
      <c r="AY28" s="76">
        <v>0</v>
      </c>
      <c r="AZ28" s="46">
        <v>0</v>
      </c>
      <c r="BA28" s="46">
        <v>0</v>
      </c>
      <c r="BB28" s="46">
        <v>0</v>
      </c>
      <c r="BC28" s="46">
        <v>0</v>
      </c>
      <c r="BD28" s="46">
        <v>0</v>
      </c>
      <c r="BE28" s="45">
        <v>0</v>
      </c>
      <c r="BF28" s="45">
        <v>0</v>
      </c>
      <c r="BG28" s="45">
        <v>0</v>
      </c>
      <c r="BH28" s="110">
        <v>0</v>
      </c>
      <c r="BI28" s="110">
        <v>0</v>
      </c>
      <c r="BJ28" s="110">
        <v>0</v>
      </c>
      <c r="BK28" s="110">
        <v>0</v>
      </c>
      <c r="BL28" s="110">
        <v>0</v>
      </c>
      <c r="BM28" s="110">
        <v>0</v>
      </c>
      <c r="BN28" s="110">
        <v>0</v>
      </c>
      <c r="BO28" s="110">
        <v>0</v>
      </c>
      <c r="BP28" s="110">
        <v>0</v>
      </c>
      <c r="BQ28" s="110">
        <v>0</v>
      </c>
      <c r="BR28" s="110">
        <v>0</v>
      </c>
      <c r="BS28" s="110">
        <v>0</v>
      </c>
      <c r="BT28" s="110">
        <v>0</v>
      </c>
      <c r="BU28" s="110">
        <v>0</v>
      </c>
      <c r="BV28" s="110">
        <v>0</v>
      </c>
      <c r="BW28" s="110">
        <v>0</v>
      </c>
      <c r="BX28" s="110">
        <v>0</v>
      </c>
      <c r="BY28" s="110">
        <v>0</v>
      </c>
      <c r="BZ28" s="110">
        <v>0</v>
      </c>
      <c r="CA28" s="110">
        <v>0</v>
      </c>
      <c r="CB28" s="110">
        <v>0</v>
      </c>
      <c r="CC28" s="110">
        <v>0</v>
      </c>
      <c r="CD28" s="110">
        <v>0</v>
      </c>
      <c r="CE28" s="110">
        <v>0</v>
      </c>
      <c r="CF28" s="110">
        <v>0</v>
      </c>
      <c r="CG28" s="110">
        <v>0</v>
      </c>
      <c r="CH28" s="110">
        <v>0</v>
      </c>
      <c r="CI28" s="110">
        <v>0</v>
      </c>
      <c r="CJ28" s="136">
        <v>0</v>
      </c>
      <c r="CK28" s="136">
        <v>0</v>
      </c>
      <c r="CL28" s="136">
        <v>0</v>
      </c>
      <c r="CM28" s="136">
        <v>0</v>
      </c>
      <c r="CN28" s="136">
        <v>0</v>
      </c>
      <c r="CO28" s="136">
        <v>0</v>
      </c>
      <c r="CP28" s="136">
        <v>0</v>
      </c>
      <c r="CQ28" s="136">
        <v>0</v>
      </c>
      <c r="CR28" s="136">
        <v>0</v>
      </c>
      <c r="CS28" s="136">
        <v>0</v>
      </c>
      <c r="CT28" s="136">
        <v>0</v>
      </c>
      <c r="CU28" s="136">
        <v>0</v>
      </c>
      <c r="CV28" s="136">
        <v>0</v>
      </c>
      <c r="CW28" s="136">
        <v>0</v>
      </c>
      <c r="CX28" s="136">
        <v>0</v>
      </c>
      <c r="CY28" s="145">
        <v>0</v>
      </c>
    </row>
    <row r="29" spans="1:105" x14ac:dyDescent="0.35">
      <c r="A29" s="25" t="s">
        <v>83</v>
      </c>
      <c r="B29" s="29" t="s">
        <v>41</v>
      </c>
      <c r="C29" s="27" t="s">
        <v>59</v>
      </c>
      <c r="D29" s="6">
        <f>410*115.6521</f>
        <v>47417.361000000004</v>
      </c>
      <c r="E29" s="4">
        <f>402.1*116.1223</f>
        <v>46692.776830000003</v>
      </c>
      <c r="F29" s="4">
        <f>140*116.9832</f>
        <v>16377.647999999999</v>
      </c>
      <c r="G29" s="4">
        <f>10.1*117.4218</f>
        <v>1185.96018</v>
      </c>
      <c r="H29" s="4">
        <f>10.1*117.8553</f>
        <v>1190.33853</v>
      </c>
      <c r="I29" s="4">
        <f>10.1*119.0553</f>
        <v>1202.4585299999999</v>
      </c>
      <c r="J29" s="4">
        <f>10.1*119.8343</f>
        <v>1210.3264299999998</v>
      </c>
      <c r="K29" s="4">
        <f>2.2*119.932</f>
        <v>263.85040000000004</v>
      </c>
      <c r="L29" s="4">
        <f>15.8*120.415</f>
        <v>1902.5570000000002</v>
      </c>
      <c r="M29" s="4">
        <f>15.8*121.3417</f>
        <v>1917.1988600000002</v>
      </c>
      <c r="N29" s="4">
        <f>15.8*121.8522</f>
        <v>1925.26476</v>
      </c>
      <c r="O29" s="4">
        <v>0</v>
      </c>
      <c r="P29" s="54">
        <v>0</v>
      </c>
      <c r="Q29" s="54">
        <v>0</v>
      </c>
      <c r="R29" s="54">
        <v>0</v>
      </c>
      <c r="S29" s="54">
        <v>0</v>
      </c>
      <c r="T29" s="54">
        <v>0</v>
      </c>
      <c r="U29" s="55">
        <v>0</v>
      </c>
      <c r="V29" s="55">
        <v>0</v>
      </c>
      <c r="W29" s="55">
        <v>0</v>
      </c>
      <c r="X29" s="55">
        <f>79*128.4404</f>
        <v>10146.7916</v>
      </c>
      <c r="Y29" s="55">
        <f>78.3*128.2591</f>
        <v>10042.687529999999</v>
      </c>
      <c r="Z29" s="55">
        <f>78.3*128.1053</f>
        <v>10030.644989999999</v>
      </c>
      <c r="AA29" s="57">
        <f>79.05*128.6672</f>
        <v>10171.142159999999</v>
      </c>
      <c r="AB29" s="55">
        <f>79*129.4011</f>
        <v>10222.686900000001</v>
      </c>
      <c r="AC29" s="55">
        <f>79*130.1443</f>
        <v>10281.399699999998</v>
      </c>
      <c r="AD29" s="55">
        <v>0</v>
      </c>
      <c r="AE29" s="59">
        <v>0</v>
      </c>
      <c r="AF29" s="59">
        <v>0</v>
      </c>
      <c r="AG29" s="59">
        <v>0</v>
      </c>
      <c r="AH29" s="59">
        <v>0</v>
      </c>
      <c r="AI29" s="58">
        <f>0*126.0787</f>
        <v>0</v>
      </c>
      <c r="AJ29" s="58">
        <f>0*125.0004</f>
        <v>0</v>
      </c>
      <c r="AK29" s="58">
        <f>0*125.004</f>
        <v>0</v>
      </c>
      <c r="AL29" s="55">
        <f>0*128.154</f>
        <v>0</v>
      </c>
      <c r="AM29" s="55">
        <f>99.3*125.985</f>
        <v>12510.3105</v>
      </c>
      <c r="AN29" s="55">
        <v>0</v>
      </c>
      <c r="AO29" s="55">
        <v>0</v>
      </c>
      <c r="AP29" s="45">
        <v>11500.556759999999</v>
      </c>
      <c r="AQ29" s="65">
        <v>11946.09906</v>
      </c>
      <c r="AR29" s="65">
        <v>12132.068759999998</v>
      </c>
      <c r="AS29" s="8">
        <v>11912.697720000002</v>
      </c>
      <c r="AT29" s="8">
        <v>11342.07</v>
      </c>
      <c r="AU29" s="8">
        <v>11271.28</v>
      </c>
      <c r="AV29" s="93">
        <v>11264.57</v>
      </c>
      <c r="AW29" s="93">
        <v>12004.02</v>
      </c>
      <c r="AX29" s="76">
        <v>11360.72</v>
      </c>
      <c r="AY29" s="76">
        <v>11154.35</v>
      </c>
      <c r="AZ29" s="46">
        <v>11903.54</v>
      </c>
      <c r="BA29" s="46">
        <v>11714.79</v>
      </c>
      <c r="BB29" s="46">
        <v>0</v>
      </c>
      <c r="BC29" s="46">
        <v>0</v>
      </c>
      <c r="BD29" s="46">
        <v>0</v>
      </c>
      <c r="BE29" s="8">
        <v>0</v>
      </c>
      <c r="BF29" s="8">
        <v>0</v>
      </c>
      <c r="BG29" s="8">
        <v>0</v>
      </c>
      <c r="BH29" s="109">
        <v>0</v>
      </c>
      <c r="BI29" s="109">
        <v>0</v>
      </c>
      <c r="BJ29" s="109">
        <v>0</v>
      </c>
      <c r="BK29" s="109">
        <v>0</v>
      </c>
      <c r="BL29" s="109">
        <v>0</v>
      </c>
      <c r="BM29" s="109">
        <v>0</v>
      </c>
      <c r="BN29" s="109">
        <v>0</v>
      </c>
      <c r="BO29" s="109">
        <v>0</v>
      </c>
      <c r="BP29" s="109">
        <v>0</v>
      </c>
      <c r="BQ29" s="109">
        <v>0</v>
      </c>
      <c r="BR29" s="109">
        <v>0</v>
      </c>
      <c r="BS29" s="109">
        <v>176.14</v>
      </c>
      <c r="BT29" s="109">
        <v>171.18</v>
      </c>
      <c r="BU29" s="109">
        <v>179.54</v>
      </c>
      <c r="BV29" s="109">
        <v>182.33</v>
      </c>
      <c r="BW29" s="109">
        <v>168.57</v>
      </c>
      <c r="BX29" s="109">
        <v>169.74</v>
      </c>
      <c r="BY29" s="109">
        <v>70.2</v>
      </c>
      <c r="BZ29" s="109">
        <v>70.099999999999994</v>
      </c>
      <c r="CA29" s="109">
        <v>77.290000000000006</v>
      </c>
      <c r="CB29" s="109">
        <v>71.483000000000004</v>
      </c>
      <c r="CC29" s="109">
        <v>73.622050000000002</v>
      </c>
      <c r="CD29" s="109">
        <v>77.829350000000005</v>
      </c>
      <c r="CE29" s="109">
        <v>0</v>
      </c>
      <c r="CF29" s="109">
        <v>0</v>
      </c>
      <c r="CG29" s="109">
        <v>0</v>
      </c>
      <c r="CH29" s="109">
        <v>0</v>
      </c>
      <c r="CI29" s="109">
        <v>0</v>
      </c>
      <c r="CJ29" s="136">
        <v>0</v>
      </c>
      <c r="CK29" s="136">
        <v>0</v>
      </c>
      <c r="CL29" s="136">
        <v>0</v>
      </c>
      <c r="CM29" s="136">
        <v>0</v>
      </c>
      <c r="CN29" s="136">
        <v>0</v>
      </c>
      <c r="CO29" s="136">
        <v>0</v>
      </c>
      <c r="CP29" s="136">
        <v>0</v>
      </c>
      <c r="CQ29" s="136">
        <v>0</v>
      </c>
      <c r="CR29" s="136">
        <v>0</v>
      </c>
      <c r="CS29" s="136">
        <v>0</v>
      </c>
      <c r="CT29" s="136">
        <v>0</v>
      </c>
      <c r="CU29" s="136">
        <v>0</v>
      </c>
      <c r="CV29" s="136">
        <v>0</v>
      </c>
      <c r="CW29" s="136">
        <v>0</v>
      </c>
      <c r="CX29" s="136">
        <v>0</v>
      </c>
      <c r="CY29" s="145">
        <v>0</v>
      </c>
    </row>
    <row r="30" spans="1:105" x14ac:dyDescent="0.35">
      <c r="A30" s="25" t="s">
        <v>84</v>
      </c>
      <c r="B30" s="30" t="s">
        <v>32</v>
      </c>
      <c r="C30" s="27" t="s">
        <v>60</v>
      </c>
      <c r="D30" s="5">
        <f t="shared" ref="D30:O30" si="114">SUM(D31:D35)</f>
        <v>911095.67858999991</v>
      </c>
      <c r="E30" s="3">
        <f t="shared" si="114"/>
        <v>913429.62402999995</v>
      </c>
      <c r="F30" s="3">
        <f t="shared" si="114"/>
        <v>927606.58608000004</v>
      </c>
      <c r="G30" s="3">
        <f t="shared" si="114"/>
        <v>1168264.71474</v>
      </c>
      <c r="H30" s="3">
        <f t="shared" si="114"/>
        <v>1174545.9198000003</v>
      </c>
      <c r="I30" s="3">
        <f t="shared" si="114"/>
        <v>1188576.6820200002</v>
      </c>
      <c r="J30" s="3">
        <f t="shared" si="114"/>
        <v>1196677.30323</v>
      </c>
      <c r="K30" s="3">
        <f t="shared" si="114"/>
        <v>1194966.4684000001</v>
      </c>
      <c r="L30" s="3">
        <f t="shared" si="114"/>
        <v>1202656.8539999998</v>
      </c>
      <c r="M30" s="3">
        <f t="shared" si="114"/>
        <v>1212846.6940100002</v>
      </c>
      <c r="N30" s="3">
        <f t="shared" si="114"/>
        <v>1209809.5677</v>
      </c>
      <c r="O30" s="3">
        <f t="shared" si="114"/>
        <v>1248856.8093000003</v>
      </c>
      <c r="P30" s="63">
        <f t="shared" ref="P30:W30" si="115">SUM(P31:P35)</f>
        <v>1255863.93475</v>
      </c>
      <c r="Q30" s="63">
        <f t="shared" si="115"/>
        <v>1272885.0416700002</v>
      </c>
      <c r="R30" s="63">
        <f t="shared" si="115"/>
        <v>1286293.3479499999</v>
      </c>
      <c r="S30" s="63">
        <f t="shared" si="115"/>
        <v>1282616.7337199999</v>
      </c>
      <c r="T30" s="63">
        <f t="shared" si="115"/>
        <v>1303423.0331700002</v>
      </c>
      <c r="U30" s="56">
        <f t="shared" si="115"/>
        <v>1314207.2102399999</v>
      </c>
      <c r="V30" s="56">
        <f t="shared" si="115"/>
        <v>1316420.4969600001</v>
      </c>
      <c r="W30" s="56">
        <f t="shared" si="115"/>
        <v>1309785.5767299999</v>
      </c>
      <c r="X30" s="56">
        <f t="shared" ref="X30:Z30" si="116">SUM(X31:X35)</f>
        <v>1298660.8844000003</v>
      </c>
      <c r="Y30" s="56">
        <f t="shared" si="116"/>
        <v>1296827.7600999998</v>
      </c>
      <c r="Z30" s="56">
        <f t="shared" si="116"/>
        <v>1290148.4763000002</v>
      </c>
      <c r="AA30" s="56">
        <f t="shared" ref="AA30" si="117">SUM(AA31:AA35)</f>
        <v>1294195.2998512001</v>
      </c>
      <c r="AB30" s="56">
        <f t="shared" ref="AB30:AG30" si="118">SUM(AB31:AB35)</f>
        <v>1230006.6279180001</v>
      </c>
      <c r="AC30" s="56">
        <f t="shared" si="118"/>
        <v>1237464.0621199999</v>
      </c>
      <c r="AD30" s="56">
        <f t="shared" si="118"/>
        <v>1206916.4572640001</v>
      </c>
      <c r="AE30" s="56">
        <f t="shared" si="118"/>
        <v>1210425.41707</v>
      </c>
      <c r="AF30" s="56">
        <f t="shared" si="118"/>
        <v>1314823.9585600002</v>
      </c>
      <c r="AG30" s="56">
        <f t="shared" si="118"/>
        <v>1314767.1459999999</v>
      </c>
      <c r="AH30" s="56">
        <f t="shared" ref="AH30:AM30" si="119">SUM(AH31:AH35)</f>
        <v>1285545.7652799999</v>
      </c>
      <c r="AI30" s="56">
        <f t="shared" si="119"/>
        <v>1270570.7071199999</v>
      </c>
      <c r="AJ30" s="56">
        <f t="shared" si="119"/>
        <v>1256129.0195999998</v>
      </c>
      <c r="AK30" s="56">
        <f t="shared" si="119"/>
        <v>1261013.0362</v>
      </c>
      <c r="AL30" s="56">
        <f t="shared" si="119"/>
        <v>1286127.9108599997</v>
      </c>
      <c r="AM30" s="56">
        <f t="shared" si="119"/>
        <v>1252794.8399999999</v>
      </c>
      <c r="AN30" s="56">
        <v>1257296.47</v>
      </c>
      <c r="AO30" s="66">
        <v>1286072.42775</v>
      </c>
      <c r="AP30" s="67">
        <f>SUM(AP31:AP35)</f>
        <v>1277895.4644500001</v>
      </c>
      <c r="AQ30" s="67">
        <f>SUM(AQ31:AQ35)</f>
        <v>1326504.5899999999</v>
      </c>
      <c r="AR30" s="67">
        <v>1348241.4780599996</v>
      </c>
      <c r="AS30" s="78">
        <f t="shared" ref="AS30:AX30" si="120">SUM(AS31:AS35)</f>
        <v>1323295.4185000001</v>
      </c>
      <c r="AT30" s="67">
        <f t="shared" si="120"/>
        <v>1259368.43</v>
      </c>
      <c r="AU30" s="67">
        <f t="shared" si="120"/>
        <v>1249770.3591899998</v>
      </c>
      <c r="AV30" s="36">
        <f t="shared" si="120"/>
        <v>1253712.02</v>
      </c>
      <c r="AW30" s="36">
        <f t="shared" si="120"/>
        <v>1332776.94</v>
      </c>
      <c r="AX30" s="78">
        <f t="shared" si="120"/>
        <v>1258747.6599999999</v>
      </c>
      <c r="AY30" s="78">
        <f t="shared" ref="AY30:BF30" si="121">SUM(AY31:AY35)</f>
        <v>1234402.54</v>
      </c>
      <c r="AZ30" s="67">
        <f t="shared" si="121"/>
        <v>1317311.8799999999</v>
      </c>
      <c r="BA30" s="67">
        <f t="shared" si="121"/>
        <v>1292088.71</v>
      </c>
      <c r="BB30" s="67">
        <f t="shared" si="121"/>
        <v>1275188.73</v>
      </c>
      <c r="BC30" s="67">
        <f t="shared" si="121"/>
        <v>1323201.95</v>
      </c>
      <c r="BD30" s="67">
        <f t="shared" si="121"/>
        <v>1329771.19</v>
      </c>
      <c r="BE30" s="66">
        <f t="shared" si="121"/>
        <v>1243869.2</v>
      </c>
      <c r="BF30" s="66">
        <f t="shared" si="121"/>
        <v>1287790.48</v>
      </c>
      <c r="BG30" s="66">
        <f t="shared" ref="BG30" si="122">SUM(BG31:BG35)</f>
        <v>1249602.57</v>
      </c>
      <c r="BH30" s="112">
        <f>SUM(BH31:BH35)</f>
        <v>1221022.8</v>
      </c>
      <c r="BI30" s="112">
        <f t="shared" ref="BI30:BJ30" si="123">SUM(BI31:BI35)</f>
        <v>1293641.42</v>
      </c>
      <c r="BJ30" s="112">
        <f t="shared" si="123"/>
        <v>1254554.6099999999</v>
      </c>
      <c r="BK30" s="112">
        <f t="shared" ref="BK30:BL30" si="124">SUM(BK31:BK35)</f>
        <v>1242010.21</v>
      </c>
      <c r="BL30" s="112">
        <f t="shared" si="124"/>
        <v>1314012.03</v>
      </c>
      <c r="BM30" s="112">
        <f t="shared" ref="BM30" si="125">SUM(BM31:BM35)</f>
        <v>1318235.6799532</v>
      </c>
      <c r="BN30" s="112">
        <f t="shared" ref="BN30:BO30" si="126">SUM(BN31:BN35)</f>
        <v>1282907.7</v>
      </c>
      <c r="BO30" s="112">
        <f t="shared" si="126"/>
        <v>1349356.3900000001</v>
      </c>
      <c r="BP30" s="112">
        <f t="shared" ref="BP30:BU30" si="127">SUM(BP31:BP35)</f>
        <v>1357013.9019199999</v>
      </c>
      <c r="BQ30" s="112">
        <f t="shared" si="127"/>
        <v>1291590.52</v>
      </c>
      <c r="BR30" s="112">
        <f t="shared" si="127"/>
        <v>1303248.8900000001</v>
      </c>
      <c r="BS30" s="112">
        <f t="shared" si="127"/>
        <v>1346823.93</v>
      </c>
      <c r="BT30" s="112">
        <f t="shared" si="127"/>
        <v>1307085.55</v>
      </c>
      <c r="BU30" s="112">
        <f t="shared" si="127"/>
        <v>1363407.4</v>
      </c>
      <c r="BV30" s="112">
        <f t="shared" ref="BV30:BW30" si="128">SUM(BV31:BV35)</f>
        <v>1381321.47</v>
      </c>
      <c r="BW30" s="112">
        <f t="shared" si="128"/>
        <v>1355173.4347600001</v>
      </c>
      <c r="BX30" s="112">
        <f t="shared" ref="BX30:BY30" si="129">SUM(BX31:BX35)</f>
        <v>1433476.26</v>
      </c>
      <c r="BY30" s="112">
        <f t="shared" si="129"/>
        <v>1385073.25</v>
      </c>
      <c r="BZ30" s="112">
        <f t="shared" ref="BZ30:CA30" si="130">SUM(BZ31:BZ35)</f>
        <v>1377700.5</v>
      </c>
      <c r="CA30" s="112">
        <f t="shared" si="130"/>
        <v>1426336.17</v>
      </c>
      <c r="CB30" s="112">
        <f t="shared" ref="CB30:CC30" si="131">SUM(CB31:CB35)</f>
        <v>1400108.6809999999</v>
      </c>
      <c r="CC30" s="112">
        <f t="shared" si="131"/>
        <v>1351362.1765699999</v>
      </c>
      <c r="CD30" s="112">
        <f t="shared" ref="CD30:CE30" si="132">SUM(CD31:CD35)</f>
        <v>1425257.7548099998</v>
      </c>
      <c r="CE30" s="112">
        <f t="shared" si="132"/>
        <v>1430619.9500000002</v>
      </c>
      <c r="CF30" s="112">
        <f t="shared" ref="CF30:CG30" si="133">SUM(CF31:CF35)</f>
        <v>1420356.1075200001</v>
      </c>
      <c r="CG30" s="112">
        <f t="shared" si="133"/>
        <v>1399127.7988700001</v>
      </c>
      <c r="CH30" s="112">
        <f t="shared" ref="CH30:CJ30" si="134">SUM(CH31:CH35)</f>
        <v>1407425.12</v>
      </c>
      <c r="CI30" s="112">
        <f t="shared" si="134"/>
        <v>1388538.9589999998</v>
      </c>
      <c r="CJ30" s="135">
        <f t="shared" si="134"/>
        <v>1410683.409952</v>
      </c>
      <c r="CK30" s="135">
        <f t="shared" ref="CK30:CL30" si="135">SUM(CK31:CK35)</f>
        <v>1408564.26</v>
      </c>
      <c r="CL30" s="135">
        <f t="shared" si="135"/>
        <v>1378341.1998399999</v>
      </c>
      <c r="CM30" s="135">
        <f t="shared" ref="CM30:CN30" si="136">SUM(CM31:CM35)</f>
        <v>1389125.6718900001</v>
      </c>
      <c r="CN30" s="135">
        <f t="shared" si="136"/>
        <v>1374820.93</v>
      </c>
      <c r="CO30" s="135">
        <f t="shared" ref="CO30:CP30" si="137">SUM(CO31:CO35)</f>
        <v>1382120.96</v>
      </c>
      <c r="CP30" s="135">
        <f t="shared" si="137"/>
        <v>1392668.93</v>
      </c>
      <c r="CQ30" s="135">
        <f t="shared" ref="CQ30:CR30" si="138">SUM(CQ31:CQ35)</f>
        <v>1396267.5487199998</v>
      </c>
      <c r="CR30" s="135">
        <f t="shared" si="138"/>
        <v>1369574.3199999998</v>
      </c>
      <c r="CS30" s="135">
        <f t="shared" ref="CS30:CT30" si="139">SUM(CS31:CS35)</f>
        <v>1386242.657355</v>
      </c>
      <c r="CT30" s="135">
        <f t="shared" si="139"/>
        <v>1377933.68</v>
      </c>
      <c r="CU30" s="135">
        <f t="shared" ref="CU30:CV30" si="140">SUM(CU31:CU35)</f>
        <v>1352345.5899999999</v>
      </c>
      <c r="CV30" s="135">
        <f t="shared" si="140"/>
        <v>1373112.1062540002</v>
      </c>
      <c r="CW30" s="135">
        <f t="shared" ref="CW30" si="141">SUM(CW31:CW35)</f>
        <v>1391813.44</v>
      </c>
      <c r="CX30" s="135">
        <f>SUM(CX31:CX35)</f>
        <v>1381030.17</v>
      </c>
      <c r="CY30" s="144">
        <f>SUM(CY31:CY35)</f>
        <v>1363244.59</v>
      </c>
    </row>
    <row r="31" spans="1:105" x14ac:dyDescent="0.35">
      <c r="A31" s="25" t="s">
        <v>85</v>
      </c>
      <c r="B31" s="29" t="s">
        <v>37</v>
      </c>
      <c r="C31" s="27" t="s">
        <v>61</v>
      </c>
      <c r="D31" s="6">
        <f>788.1*115.6521-D25</f>
        <v>87062.900880000001</v>
      </c>
      <c r="E31" s="4">
        <f>781.9*116.1223-E25</f>
        <v>87114.949459999989</v>
      </c>
      <c r="F31" s="4">
        <f>780.8*116.9832-F25</f>
        <v>87901.176479999995</v>
      </c>
      <c r="G31" s="4">
        <f>777.3*117.4218-G25</f>
        <v>88371.646680000005</v>
      </c>
      <c r="H31" s="4">
        <f>818.4*117.8553-H25</f>
        <v>86930.069279999996</v>
      </c>
      <c r="I31" s="4">
        <f>780.9*119.0553-I25</f>
        <v>84362.585579999999</v>
      </c>
      <c r="J31" s="4">
        <f>783.2*119.8343-J25</f>
        <v>85741.441650000008</v>
      </c>
      <c r="K31" s="4">
        <f>776.3*119.932-K25</f>
        <v>85343.611199999999</v>
      </c>
      <c r="L31" s="4">
        <f>782.9*120.415-L25</f>
        <v>84651.744999999995</v>
      </c>
      <c r="M31" s="4">
        <f>758.6*121.3417-M25</f>
        <v>87681.512419999999</v>
      </c>
      <c r="N31" s="4">
        <f>761*121.8522-N25</f>
        <v>82762.014240000004</v>
      </c>
      <c r="O31" s="4">
        <f>751*122.0421-O25</f>
        <v>88626.973020000005</v>
      </c>
      <c r="P31" s="54">
        <f>746.2*123.1541-P25</f>
        <v>88535.482490000009</v>
      </c>
      <c r="Q31" s="54">
        <f>735.3*125.4111-Q25</f>
        <v>88013.509979999988</v>
      </c>
      <c r="R31" s="54">
        <f>738.1*126.3835-R25</f>
        <v>89075.090799999991</v>
      </c>
      <c r="S31" s="54">
        <f>714.4*126.5582-S25</f>
        <v>86211.44584</v>
      </c>
      <c r="T31" s="54">
        <f>713.7*127.5727-T25</f>
        <v>86749.436000000016</v>
      </c>
      <c r="U31" s="55">
        <f>706.4*128.2704-U25</f>
        <v>86672.309279999987</v>
      </c>
      <c r="V31" s="55">
        <f>707.4*129.1064-V25</f>
        <v>87818.173280000003</v>
      </c>
      <c r="W31" s="55">
        <f>705.7*129.0391-W25</f>
        <v>87423.990250000003</v>
      </c>
      <c r="X31" s="55">
        <f>703.3*128.4404-X25</f>
        <v>86684.425960000008</v>
      </c>
      <c r="Y31" s="55">
        <f>691.9*128.2591-Y25</f>
        <v>85292.301499999987</v>
      </c>
      <c r="Z31" s="55">
        <f>689.8*128.1053-Z25</f>
        <v>85023.487609999982</v>
      </c>
      <c r="AA31" s="55">
        <f>681.4*128.6672-AA25</f>
        <v>84313.042816000001</v>
      </c>
      <c r="AB31" s="55">
        <f>687.4*129.4011-AB25</f>
        <v>85570.359408000004</v>
      </c>
      <c r="AC31" s="55">
        <f>698.3*130.1443-AC25</f>
        <v>87548.070609999981</v>
      </c>
      <c r="AD31" s="55">
        <f>703.3*128.6228-AD25</f>
        <v>87206.106599999999</v>
      </c>
      <c r="AE31" s="55">
        <f>687.36*128.2195-AE25</f>
        <v>84905.670704999997</v>
      </c>
      <c r="AF31" s="55">
        <f>703.3*129.6466-AF25</f>
        <v>87913.359459999992</v>
      </c>
      <c r="AG31" s="55">
        <f>691.8*129.91-AG25</f>
        <v>86598.005999999994</v>
      </c>
      <c r="AH31" s="55">
        <f>689.5*127.2868-AH25</f>
        <v>84429.334440000006</v>
      </c>
      <c r="AI31" s="55">
        <f>692.3*126.0787-AI25</f>
        <v>83375.844309999986</v>
      </c>
      <c r="AJ31" s="55">
        <f>687.9*125.0004-AJ25</f>
        <v>82187.762999999992</v>
      </c>
      <c r="AK31" s="55">
        <f>694.2*125.3866-AK25</f>
        <v>83595.246220000001</v>
      </c>
      <c r="AL31" s="55">
        <f>691.5*128.154-AL25</f>
        <v>84940.4712</v>
      </c>
      <c r="AM31" s="55">
        <f>685.6*125.985-AM25</f>
        <v>82809.940500000012</v>
      </c>
      <c r="AN31" s="55">
        <v>83363.600000000006</v>
      </c>
      <c r="AO31" s="8">
        <v>85247.016250000001</v>
      </c>
      <c r="AP31" s="45">
        <v>88601.228099999993</v>
      </c>
      <c r="AQ31" s="69">
        <v>87970.42</v>
      </c>
      <c r="AR31" s="69">
        <v>93026.282339999976</v>
      </c>
      <c r="AS31" s="76">
        <v>91600.811720000012</v>
      </c>
      <c r="AT31" s="45">
        <v>88177.52</v>
      </c>
      <c r="AU31" s="45">
        <v>88662.3</v>
      </c>
      <c r="AV31" s="9">
        <v>89273.62</v>
      </c>
      <c r="AW31" s="9">
        <v>93450.34</v>
      </c>
      <c r="AX31" s="76">
        <v>87820.2</v>
      </c>
      <c r="AY31" s="76">
        <v>85339.66</v>
      </c>
      <c r="AZ31" s="46">
        <v>92920.51</v>
      </c>
      <c r="BA31" s="46">
        <v>91194.76</v>
      </c>
      <c r="BB31" s="46">
        <v>92193.37</v>
      </c>
      <c r="BC31" s="46">
        <v>91132.81</v>
      </c>
      <c r="BD31" s="46">
        <v>90866.32</v>
      </c>
      <c r="BE31" s="8">
        <v>103545.39</v>
      </c>
      <c r="BF31" s="8">
        <v>107192.95</v>
      </c>
      <c r="BG31" s="8">
        <v>107836.52</v>
      </c>
      <c r="BH31" s="109">
        <v>101163.4</v>
      </c>
      <c r="BI31" s="109">
        <v>102818.48</v>
      </c>
      <c r="BJ31" s="109">
        <v>100884.96</v>
      </c>
      <c r="BK31" s="109">
        <v>98040.54</v>
      </c>
      <c r="BL31" s="109">
        <v>105198.16</v>
      </c>
      <c r="BM31" s="109">
        <v>105518.91211120001</v>
      </c>
      <c r="BN31" s="109">
        <v>102810.15</v>
      </c>
      <c r="BO31" s="109">
        <v>102873.59</v>
      </c>
      <c r="BP31" s="109">
        <v>103934.38</v>
      </c>
      <c r="BQ31" s="109">
        <v>98720.2</v>
      </c>
      <c r="BR31" s="109">
        <v>102466.3</v>
      </c>
      <c r="BS31" s="109">
        <v>103877.34</v>
      </c>
      <c r="BT31" s="109">
        <v>102711.78</v>
      </c>
      <c r="BU31" s="109">
        <v>102810.99</v>
      </c>
      <c r="BV31" s="109">
        <v>104048.85</v>
      </c>
      <c r="BW31" s="109">
        <v>98951.172377999988</v>
      </c>
      <c r="BX31" s="109">
        <v>104455.58</v>
      </c>
      <c r="BY31" s="109">
        <v>101163.85</v>
      </c>
      <c r="BZ31" s="109">
        <v>105067.93</v>
      </c>
      <c r="CA31" s="109">
        <v>104192.24</v>
      </c>
      <c r="CB31" s="109">
        <v>102377.015</v>
      </c>
      <c r="CC31" s="109">
        <v>98476.85407999999</v>
      </c>
      <c r="CD31" s="109">
        <v>103964.44573000001</v>
      </c>
      <c r="CE31" s="109">
        <v>104139.94</v>
      </c>
      <c r="CF31" s="109">
        <v>108949.17949999998</v>
      </c>
      <c r="CG31" s="109">
        <v>107726.69950999999</v>
      </c>
      <c r="CH31" s="109">
        <v>108266.94</v>
      </c>
      <c r="CI31" s="109">
        <v>106074.43700000001</v>
      </c>
      <c r="CJ31" s="136">
        <v>106186.03</v>
      </c>
      <c r="CK31" s="136">
        <v>105946.27</v>
      </c>
      <c r="CL31" s="136">
        <v>107172.72412</v>
      </c>
      <c r="CM31" s="136">
        <v>103234.729488</v>
      </c>
      <c r="CN31" s="136">
        <v>109808.36</v>
      </c>
      <c r="CO31" s="136">
        <v>109420.29</v>
      </c>
      <c r="CP31" s="136">
        <v>110320.82</v>
      </c>
      <c r="CQ31" s="136">
        <v>110751.15788</v>
      </c>
      <c r="CR31" s="136">
        <v>108802.4</v>
      </c>
      <c r="CS31" s="136">
        <v>110976.09448999999</v>
      </c>
      <c r="CT31" s="136">
        <v>110286.71</v>
      </c>
      <c r="CU31" s="136">
        <v>107671.83</v>
      </c>
      <c r="CV31" s="136">
        <v>110753.02224000001</v>
      </c>
      <c r="CW31" s="136">
        <v>112332.6</v>
      </c>
      <c r="CX31" s="136">
        <v>115443.28</v>
      </c>
      <c r="CY31" s="145">
        <v>110963.98</v>
      </c>
    </row>
    <row r="32" spans="1:105" x14ac:dyDescent="0.35">
      <c r="A32" s="25" t="s">
        <v>86</v>
      </c>
      <c r="B32" s="29" t="s">
        <v>38</v>
      </c>
      <c r="C32" s="27" t="s">
        <v>62</v>
      </c>
      <c r="D32" s="6">
        <f>3323.9*115.6521-D26</f>
        <v>364755.15818999999</v>
      </c>
      <c r="E32" s="4">
        <f>3313.7*116.1223-E26</f>
        <v>366063.93851999997</v>
      </c>
      <c r="F32" s="4">
        <f>3347.9*116.9832-F26</f>
        <v>375820.22831999999</v>
      </c>
      <c r="G32" s="4">
        <f>3331.1*117.4218-G26</f>
        <v>376736.10311999999</v>
      </c>
      <c r="H32" s="4">
        <f>3452.9*117.8553-H26</f>
        <v>384927.19533000002</v>
      </c>
      <c r="I32" s="4">
        <f>3486.3*119.0553-I26</f>
        <v>394656.41397000005</v>
      </c>
      <c r="J32" s="4">
        <f>3462.6*119.8343-J26</f>
        <v>396927.15188999998</v>
      </c>
      <c r="K32" s="4">
        <f>3444.5*119.932-K26</f>
        <v>395847.55920000002</v>
      </c>
      <c r="L32" s="4">
        <f>3529.5*120.415-L26</f>
        <v>405509.554</v>
      </c>
      <c r="M32" s="4">
        <f>3526.7*121.3417-M26</f>
        <v>409952.93345000001</v>
      </c>
      <c r="N32" s="4">
        <f>3512.3*121.8522-N26</f>
        <v>408643.53792000003</v>
      </c>
      <c r="O32" s="4">
        <f>3530.9*122.0421-O26</f>
        <v>430259.42355000007</v>
      </c>
      <c r="P32" s="54">
        <f>3514.7*123.1541-P26</f>
        <v>431556.59722</v>
      </c>
      <c r="Q32" s="54">
        <f>3507.4*125.4111-Q26</f>
        <v>438336.87672</v>
      </c>
      <c r="R32" s="54">
        <f>3555.7*126.3835-R26</f>
        <v>447852.57059999998</v>
      </c>
      <c r="S32" s="54">
        <f>3547.4*126.5582-S26</f>
        <v>447547.76266000001</v>
      </c>
      <c r="T32" s="54">
        <f>3667.8*127.5727-T26</f>
        <v>466495.09209000005</v>
      </c>
      <c r="U32" s="55">
        <f>3699.9*128.2704-U26</f>
        <v>472727.73215999996</v>
      </c>
      <c r="V32" s="55">
        <f>3666.3*129.1064-V26</f>
        <v>472051.73032000003</v>
      </c>
      <c r="W32" s="55">
        <f>3646.3*129.0391-W26</f>
        <v>469186.16759999999</v>
      </c>
      <c r="X32" s="55">
        <f>3703.8*128.4404-X26</f>
        <v>474407.4614400001</v>
      </c>
      <c r="Y32" s="55">
        <f>3710.2*128.2591-Y26</f>
        <v>474558.66999999993</v>
      </c>
      <c r="Z32" s="55">
        <f>3670*128.1053-Z26</f>
        <v>469249.71389999997</v>
      </c>
      <c r="AA32" s="55">
        <f>3671.87*128.6672-AA26</f>
        <v>471899.82272</v>
      </c>
      <c r="AB32" s="55">
        <f>3113*129.4011-AB26</f>
        <v>402424.48089000001</v>
      </c>
      <c r="AC32" s="55">
        <f>3120.7*130.1443-AC26</f>
        <v>405698.82638999994</v>
      </c>
      <c r="AD32" s="60">
        <f>3106.7*128.6228-AD26</f>
        <v>399152.56278400001</v>
      </c>
      <c r="AE32" s="60">
        <f>3183.36*128.2195-AE26</f>
        <v>407730.31683000003</v>
      </c>
      <c r="AF32" s="60">
        <f>3158.2*129.6466-AF26</f>
        <v>407219.9706</v>
      </c>
      <c r="AG32" s="60">
        <f>3152*129.91-AG26</f>
        <v>407436.73300000001</v>
      </c>
      <c r="AH32" s="60">
        <f>3141.6*127.2868-AH26</f>
        <v>397885.80811999994</v>
      </c>
      <c r="AI32" s="60">
        <f>3132*126.0787-AI26</f>
        <v>392886.44493999996</v>
      </c>
      <c r="AJ32" s="60">
        <f>3121.2*125.0004-AJ26</f>
        <v>388176.24215999997</v>
      </c>
      <c r="AK32" s="60">
        <f>3127.5*125.3866-AK26</f>
        <v>389613.78217999998</v>
      </c>
      <c r="AL32" s="55">
        <f>3104.1*128.154-AL26</f>
        <v>396111.19859999995</v>
      </c>
      <c r="AM32" s="60">
        <f>3114.8*125.985-AM26</f>
        <v>390855.86400000006</v>
      </c>
      <c r="AN32" s="60">
        <v>388294.9</v>
      </c>
      <c r="AO32" s="8">
        <v>400769.69349999999</v>
      </c>
      <c r="AP32" s="45">
        <v>400739.07511000003</v>
      </c>
      <c r="AQ32" s="69">
        <v>423449.93</v>
      </c>
      <c r="AR32" s="69">
        <v>427400.95295999991</v>
      </c>
      <c r="AS32" s="8">
        <v>418767.79230000003</v>
      </c>
      <c r="AT32" s="45">
        <v>397461.12</v>
      </c>
      <c r="AU32" s="45">
        <v>393676.96</v>
      </c>
      <c r="AV32" s="8">
        <v>398060.74</v>
      </c>
      <c r="AW32" s="8">
        <v>423679.3</v>
      </c>
      <c r="AX32" s="76">
        <v>398926.3</v>
      </c>
      <c r="AY32" s="76">
        <v>391199.13</v>
      </c>
      <c r="AZ32" s="46">
        <v>415638.78</v>
      </c>
      <c r="BA32" s="46">
        <v>409340.42</v>
      </c>
      <c r="BB32" s="46">
        <v>402654.62</v>
      </c>
      <c r="BC32" s="46">
        <v>419429.54</v>
      </c>
      <c r="BD32" s="46">
        <v>419923.83</v>
      </c>
      <c r="BE32" s="45">
        <v>409964.58</v>
      </c>
      <c r="BF32" s="45">
        <v>423422.98</v>
      </c>
      <c r="BG32" s="45">
        <v>407951.12</v>
      </c>
      <c r="BH32" s="110">
        <v>403589.09</v>
      </c>
      <c r="BI32" s="110">
        <v>427808.04</v>
      </c>
      <c r="BJ32" s="110">
        <v>413458.46</v>
      </c>
      <c r="BK32" s="110">
        <v>413350.82</v>
      </c>
      <c r="BL32" s="110">
        <v>437389.32</v>
      </c>
      <c r="BM32" s="110">
        <v>438401.35784200003</v>
      </c>
      <c r="BN32" s="110">
        <v>425367.72</v>
      </c>
      <c r="BO32" s="110">
        <v>448645.75</v>
      </c>
      <c r="BP32" s="110">
        <v>448342.02191999991</v>
      </c>
      <c r="BQ32" s="110">
        <v>426854.40000000002</v>
      </c>
      <c r="BR32" s="110">
        <v>434766.67</v>
      </c>
      <c r="BS32" s="110">
        <v>451999.26</v>
      </c>
      <c r="BT32" s="110">
        <v>436549.65</v>
      </c>
      <c r="BU32" s="110">
        <v>455290.01</v>
      </c>
      <c r="BV32" s="110">
        <v>459437.68</v>
      </c>
      <c r="BW32" s="110">
        <v>467226.42793699994</v>
      </c>
      <c r="BX32" s="110">
        <v>498428.08</v>
      </c>
      <c r="BY32" s="110">
        <v>479993.22</v>
      </c>
      <c r="BZ32" s="109">
        <v>474099.99</v>
      </c>
      <c r="CA32" s="109">
        <v>490971.17</v>
      </c>
      <c r="CB32" s="109">
        <v>479979.424</v>
      </c>
      <c r="CC32" s="109">
        <v>464142.85201999999</v>
      </c>
      <c r="CD32" s="109">
        <v>487476.35079</v>
      </c>
      <c r="CE32" s="109">
        <v>487218.9</v>
      </c>
      <c r="CF32" s="109">
        <v>481563.12777999992</v>
      </c>
      <c r="CG32" s="109">
        <v>483725.70610999997</v>
      </c>
      <c r="CH32" s="109">
        <v>498964.04</v>
      </c>
      <c r="CI32" s="109">
        <v>491644.20699999999</v>
      </c>
      <c r="CJ32" s="136">
        <v>508146.26295200002</v>
      </c>
      <c r="CK32" s="136">
        <v>506846.44</v>
      </c>
      <c r="CL32" s="136">
        <v>492677.16849999997</v>
      </c>
      <c r="CM32" s="136">
        <v>496698.06357600004</v>
      </c>
      <c r="CN32" s="136">
        <v>486295.25</v>
      </c>
      <c r="CO32" s="136">
        <v>487729.55</v>
      </c>
      <c r="CP32" s="136">
        <v>490620.17</v>
      </c>
      <c r="CQ32" s="136">
        <v>490820.16948799998</v>
      </c>
      <c r="CR32" s="136">
        <v>480647.33</v>
      </c>
      <c r="CS32" s="136">
        <v>484618.52266000002</v>
      </c>
      <c r="CT32" s="136">
        <v>479019.37</v>
      </c>
      <c r="CU32" s="136">
        <v>470395.51</v>
      </c>
      <c r="CV32" s="136">
        <v>475768.85907600005</v>
      </c>
      <c r="CW32" s="136">
        <v>479978.87</v>
      </c>
      <c r="CX32" s="136">
        <v>473202.72</v>
      </c>
      <c r="CY32" s="145">
        <v>473487.8</v>
      </c>
    </row>
    <row r="33" spans="1:106" x14ac:dyDescent="0.35">
      <c r="A33" s="25" t="s">
        <v>87</v>
      </c>
      <c r="B33" s="29" t="s">
        <v>39</v>
      </c>
      <c r="C33" s="27" t="s">
        <v>63</v>
      </c>
      <c r="D33" s="6">
        <f>317.5*115.6521-D27</f>
        <v>30347.111040000003</v>
      </c>
      <c r="E33" s="4">
        <f>309.3*116.1223-E27</f>
        <v>29576.34981</v>
      </c>
      <c r="F33" s="4">
        <f>305.6*116.9832-F27</f>
        <v>29924.30256</v>
      </c>
      <c r="G33" s="4">
        <f>328.5*117.4218-G27</f>
        <v>32725.45566</v>
      </c>
      <c r="H33" s="4">
        <f>330.8*117.8553-H27</f>
        <v>29982.388320000005</v>
      </c>
      <c r="I33" s="4">
        <f>327.1*119.0553-I27</f>
        <v>30061.463250000008</v>
      </c>
      <c r="J33" s="4">
        <f>307*119.8343-J27</f>
        <v>30066.425870000003</v>
      </c>
      <c r="K33" s="4">
        <f>289.9*119.932-K27</f>
        <v>29263.407999999996</v>
      </c>
      <c r="L33" s="4">
        <f>290.3*120.415-L27</f>
        <v>26864.586500000005</v>
      </c>
      <c r="M33" s="4">
        <f>281.1*121.3417-M27</f>
        <v>25954.98963</v>
      </c>
      <c r="N33" s="4">
        <f>280.7*121.8522-N27</f>
        <v>26100.741239999996</v>
      </c>
      <c r="O33" s="4">
        <f>285.5*122.0421-O27</f>
        <v>34574.526930000007</v>
      </c>
      <c r="P33" s="54">
        <f>275.2*123.1541-P27</f>
        <v>33892.008320000001</v>
      </c>
      <c r="Q33" s="54">
        <f>260.6*125.4111-Q27</f>
        <v>32682.132660000003</v>
      </c>
      <c r="R33" s="54">
        <f>255.4*126.3835-R27</f>
        <v>32088.770649999999</v>
      </c>
      <c r="S33" s="54">
        <f>243.1*126.5582-S27</f>
        <v>30576.46112</v>
      </c>
      <c r="T33" s="54">
        <f>244.6*127.5727-T27</f>
        <v>31000.166099999999</v>
      </c>
      <c r="U33" s="55">
        <f>249.2*128.2704-U27</f>
        <v>31759.751039999999</v>
      </c>
      <c r="V33" s="55">
        <f>239.1*129.1064-V27</f>
        <v>29332.97408</v>
      </c>
      <c r="W33" s="55">
        <f>228.4*129.0391-W27</f>
        <v>27949.869059999997</v>
      </c>
      <c r="X33" s="55">
        <f>216.7*128.4404-X27</f>
        <v>25855.052520000001</v>
      </c>
      <c r="Y33" s="55">
        <f>219.8*128.2591-Y27</f>
        <v>26177.682309999997</v>
      </c>
      <c r="Z33" s="55">
        <f>217.91*128.1053-Z27</f>
        <v>25928.512719999999</v>
      </c>
      <c r="AA33" s="55">
        <f>210.481*128.6672-AA27</f>
        <v>25018.179035200003</v>
      </c>
      <c r="AB33" s="55">
        <f>204.1*129.4011-AB27</f>
        <v>24974.4123</v>
      </c>
      <c r="AC33" s="55">
        <f>196.5*130.1443-AC27</f>
        <v>24089.709929999997</v>
      </c>
      <c r="AD33" s="55">
        <f>180.2*128.6228-AD27</f>
        <v>21582.905840000003</v>
      </c>
      <c r="AE33" s="55">
        <f>176.4*128.2195-AE27</f>
        <v>21001.071905000004</v>
      </c>
      <c r="AF33" s="55">
        <f>176.7*129.6466-AF27</f>
        <v>21275.007059999996</v>
      </c>
      <c r="AG33" s="55">
        <f>171.9*129.91-AG27</f>
        <v>20824.573</v>
      </c>
      <c r="AH33" s="55">
        <f>158*127.2868-AH27</f>
        <v>19474.880399999998</v>
      </c>
      <c r="AI33" s="55">
        <f>148.4*126.0787-AI27</f>
        <v>18079.685580000001</v>
      </c>
      <c r="AJ33" s="55">
        <f>142.9*125.0004-AJ27</f>
        <v>16912.554120000001</v>
      </c>
      <c r="AK33" s="55">
        <f>140.1*125.3866-AK27</f>
        <v>16576.108519999998</v>
      </c>
      <c r="AL33" s="55">
        <f>139.1*128.154-AL27</f>
        <v>16826.617859999998</v>
      </c>
      <c r="AM33" s="55">
        <f>140.2*125.985-AM27</f>
        <v>16806.398999999998</v>
      </c>
      <c r="AN33" s="55">
        <v>14888.15</v>
      </c>
      <c r="AO33" s="8">
        <v>13506.504000000001</v>
      </c>
      <c r="AP33" s="45">
        <v>13506.504000000001</v>
      </c>
      <c r="AQ33" s="69">
        <v>7720.27</v>
      </c>
      <c r="AR33" s="69">
        <v>7881.718139999999</v>
      </c>
      <c r="AS33" s="8">
        <v>7820.2403400000003</v>
      </c>
      <c r="AT33" s="45">
        <v>7188.45</v>
      </c>
      <c r="AU33" s="45">
        <v>5750.6534999999994</v>
      </c>
      <c r="AV33" s="8">
        <v>5913.26</v>
      </c>
      <c r="AW33" s="8">
        <v>5267.07</v>
      </c>
      <c r="AX33" s="76">
        <v>5049.21</v>
      </c>
      <c r="AY33" s="76">
        <v>4843.67</v>
      </c>
      <c r="AZ33" s="46">
        <v>5155.5</v>
      </c>
      <c r="BA33" s="46">
        <v>794.27</v>
      </c>
      <c r="BB33" s="46">
        <v>786.41</v>
      </c>
      <c r="BC33" s="46">
        <v>0</v>
      </c>
      <c r="BD33" s="46">
        <v>0</v>
      </c>
      <c r="BE33" s="8">
        <v>0</v>
      </c>
      <c r="BF33" s="8">
        <v>0</v>
      </c>
      <c r="BG33" s="8">
        <v>0</v>
      </c>
      <c r="BH33" s="109">
        <v>0</v>
      </c>
      <c r="BI33" s="109">
        <v>0</v>
      </c>
      <c r="BJ33" s="109">
        <v>0</v>
      </c>
      <c r="BK33" s="109">
        <v>0</v>
      </c>
      <c r="BL33" s="109">
        <v>0</v>
      </c>
      <c r="BM33" s="109">
        <v>0</v>
      </c>
      <c r="BN33" s="109">
        <v>0</v>
      </c>
      <c r="BO33" s="109">
        <v>0</v>
      </c>
      <c r="BP33" s="109">
        <v>0</v>
      </c>
      <c r="BQ33" s="109">
        <v>0</v>
      </c>
      <c r="BR33" s="109">
        <v>0</v>
      </c>
      <c r="BS33" s="109">
        <v>0</v>
      </c>
      <c r="BT33" s="109">
        <v>0</v>
      </c>
      <c r="BU33" s="109">
        <v>0</v>
      </c>
      <c r="BV33" s="109">
        <v>0</v>
      </c>
      <c r="BW33" s="109">
        <v>0</v>
      </c>
      <c r="BX33" s="109">
        <v>0</v>
      </c>
      <c r="BY33" s="109">
        <v>0</v>
      </c>
      <c r="BZ33" s="109">
        <v>0</v>
      </c>
      <c r="CA33" s="109">
        <v>0</v>
      </c>
      <c r="CB33" s="109">
        <v>0</v>
      </c>
      <c r="CC33" s="109">
        <v>0</v>
      </c>
      <c r="CD33" s="109">
        <v>0</v>
      </c>
      <c r="CE33" s="109">
        <v>0</v>
      </c>
      <c r="CF33" s="109">
        <v>0</v>
      </c>
      <c r="CG33" s="109">
        <v>0</v>
      </c>
      <c r="CH33" s="109">
        <v>0</v>
      </c>
      <c r="CI33" s="109">
        <v>0</v>
      </c>
      <c r="CJ33" s="136">
        <v>0</v>
      </c>
      <c r="CK33" s="136">
        <v>0</v>
      </c>
      <c r="CL33" s="136">
        <v>0</v>
      </c>
      <c r="CM33" s="136">
        <v>0</v>
      </c>
      <c r="CN33" s="136">
        <v>0</v>
      </c>
      <c r="CO33" s="136">
        <v>0</v>
      </c>
      <c r="CP33" s="136">
        <v>0</v>
      </c>
      <c r="CQ33" s="136">
        <v>0</v>
      </c>
      <c r="CR33" s="136">
        <v>0</v>
      </c>
      <c r="CS33" s="136">
        <v>0</v>
      </c>
      <c r="CT33" s="136">
        <v>0</v>
      </c>
      <c r="CU33" s="136">
        <v>0</v>
      </c>
      <c r="CV33" s="136">
        <v>0</v>
      </c>
      <c r="CW33" s="136">
        <v>0</v>
      </c>
      <c r="CX33" s="136">
        <v>0</v>
      </c>
      <c r="CY33" s="145">
        <v>0</v>
      </c>
    </row>
    <row r="34" spans="1:106" x14ac:dyDescent="0.35">
      <c r="A34" s="25" t="s">
        <v>88</v>
      </c>
      <c r="B34" s="29" t="s">
        <v>40</v>
      </c>
      <c r="C34" s="27" t="s">
        <v>64</v>
      </c>
      <c r="D34" s="6">
        <f>12.7*115.6521-D28</f>
        <v>1306.8687300000001</v>
      </c>
      <c r="E34" s="4">
        <f>12.7*116.1223-E28</f>
        <v>1312.1819899999998</v>
      </c>
      <c r="F34" s="4">
        <f>12.7*116.9832-F28</f>
        <v>1415.4967199999999</v>
      </c>
      <c r="G34" s="4">
        <f>12.7*117.4218-G28</f>
        <v>1420.80378</v>
      </c>
      <c r="H34" s="4">
        <f>12.3*117.8553-H28</f>
        <v>1225.6951200000001</v>
      </c>
      <c r="I34" s="4">
        <f>11.5*119.0553-I28</f>
        <v>1178.6474700000001</v>
      </c>
      <c r="J34" s="4">
        <f>11.5*119.8343-J28</f>
        <v>1186.3595700000001</v>
      </c>
      <c r="K34" s="4">
        <f>11.5*119.932-K28</f>
        <v>1187.3268</v>
      </c>
      <c r="L34" s="4">
        <f>11.5*120.415-L28</f>
        <v>1192.1085</v>
      </c>
      <c r="M34" s="4">
        <f>11.5*121.3417-M28</f>
        <v>1201.2828300000001</v>
      </c>
      <c r="N34" s="4">
        <f>11.5*121.8522-N28</f>
        <v>1279.4480999999998</v>
      </c>
      <c r="O34" s="4">
        <f>10.4*122.0421-O28</f>
        <v>1269.23784</v>
      </c>
      <c r="P34" s="54">
        <f>10.4*123.1541-P28</f>
        <v>1280.8026400000001</v>
      </c>
      <c r="Q34" s="54">
        <f>10.4*125.4111-Q28</f>
        <v>1304.2754400000001</v>
      </c>
      <c r="R34" s="54">
        <f>10.4*126.3835-R28</f>
        <v>1314.3884</v>
      </c>
      <c r="S34" s="54">
        <f>10.5*126.5582-S28</f>
        <v>1328.8611000000001</v>
      </c>
      <c r="T34" s="54">
        <f>10.4*127.5727-T28</f>
        <v>1326.7560800000001</v>
      </c>
      <c r="U34" s="55">
        <f>9.9*128.2704-U28</f>
        <v>1269.8769600000001</v>
      </c>
      <c r="V34" s="55">
        <f>9.9*129.1064-V28</f>
        <v>1278.15336</v>
      </c>
      <c r="W34" s="55">
        <f>9.9*129.0391-W28</f>
        <v>1277.4870899999999</v>
      </c>
      <c r="X34" s="55">
        <f>9.9*128.4404-X28</f>
        <v>1271.55996</v>
      </c>
      <c r="Y34" s="55">
        <f>9.9*128.2591-Y28</f>
        <v>1269.7650899999999</v>
      </c>
      <c r="Z34" s="55">
        <f>9.9*128.1053-Z28</f>
        <v>1268.2424700000001</v>
      </c>
      <c r="AA34" s="55">
        <f>9.92*128.6672-AA28</f>
        <v>1276.3786240000002</v>
      </c>
      <c r="AB34" s="55">
        <f>9.9*129.4011-AB28</f>
        <v>1281.0708900000002</v>
      </c>
      <c r="AC34" s="55">
        <f>9.9*130.1443-AC28</f>
        <v>1288.4285699999998</v>
      </c>
      <c r="AD34" s="60">
        <f>9.9*128.6228-AD29</f>
        <v>1273.3657200000002</v>
      </c>
      <c r="AE34" s="60">
        <f>9.93*128.2195-AE29</f>
        <v>1273.2196350000002</v>
      </c>
      <c r="AF34" s="60">
        <f>9.9*129.6466-AF29</f>
        <v>1283.50134</v>
      </c>
      <c r="AG34" s="60">
        <f>8.9*129.91-AG29</f>
        <v>1156.1990000000001</v>
      </c>
      <c r="AH34" s="60">
        <f>8.9*127.2868-AH29</f>
        <v>1132.8525200000001</v>
      </c>
      <c r="AI34" s="60">
        <f>8.9*126.0787-AI29</f>
        <v>1122.10043</v>
      </c>
      <c r="AJ34" s="60">
        <f>8.9*125.0004-AJ29</f>
        <v>1112.5035600000001</v>
      </c>
      <c r="AK34" s="60">
        <f>8.9*125.3866-AK29</f>
        <v>1115.94074</v>
      </c>
      <c r="AL34" s="55">
        <f>8.9*128.154-AL29</f>
        <v>1140.5706</v>
      </c>
      <c r="AM34" s="60">
        <f>8.3*125.985-AM28</f>
        <v>1045.6755000000001</v>
      </c>
      <c r="AN34" s="60">
        <v>1052.7</v>
      </c>
      <c r="AO34" s="8">
        <v>1074.3810000000001</v>
      </c>
      <c r="AP34" s="45">
        <v>1074.3810000000001</v>
      </c>
      <c r="AQ34" s="69">
        <v>0</v>
      </c>
      <c r="AR34" s="69">
        <v>0</v>
      </c>
      <c r="AS34" s="75">
        <v>0</v>
      </c>
      <c r="AT34" s="8">
        <v>0</v>
      </c>
      <c r="AU34" s="8">
        <v>0</v>
      </c>
      <c r="AV34" s="8">
        <v>0</v>
      </c>
      <c r="AW34" s="8">
        <v>0</v>
      </c>
      <c r="AX34" s="76">
        <v>0</v>
      </c>
      <c r="AY34" s="76">
        <v>0</v>
      </c>
      <c r="AZ34" s="46">
        <v>0</v>
      </c>
      <c r="BA34" s="46">
        <v>0</v>
      </c>
      <c r="BB34" s="46">
        <v>0</v>
      </c>
      <c r="BC34" s="46">
        <v>0</v>
      </c>
      <c r="BD34" s="46">
        <v>0</v>
      </c>
      <c r="BE34" s="8">
        <v>0</v>
      </c>
      <c r="BF34" s="8">
        <v>0</v>
      </c>
      <c r="BG34" s="8">
        <v>0</v>
      </c>
      <c r="BH34" s="109">
        <v>0</v>
      </c>
      <c r="BI34" s="109">
        <v>0</v>
      </c>
      <c r="BJ34" s="109">
        <v>0</v>
      </c>
      <c r="BK34" s="109">
        <v>0</v>
      </c>
      <c r="BL34" s="109">
        <v>0</v>
      </c>
      <c r="BM34" s="109">
        <v>0</v>
      </c>
      <c r="BN34" s="109">
        <v>0</v>
      </c>
      <c r="BO34" s="109">
        <v>0</v>
      </c>
      <c r="BP34" s="109">
        <v>0</v>
      </c>
      <c r="BQ34" s="109">
        <v>0</v>
      </c>
      <c r="BR34" s="109">
        <v>0</v>
      </c>
      <c r="BS34" s="109">
        <v>0</v>
      </c>
      <c r="BT34" s="109">
        <v>0</v>
      </c>
      <c r="BU34" s="109">
        <v>0</v>
      </c>
      <c r="BV34" s="109">
        <v>0</v>
      </c>
      <c r="BW34" s="109">
        <v>0</v>
      </c>
      <c r="BX34" s="109">
        <v>0</v>
      </c>
      <c r="BY34" s="109">
        <v>0</v>
      </c>
      <c r="BZ34" s="109">
        <v>0</v>
      </c>
      <c r="CA34" s="109">
        <v>0</v>
      </c>
      <c r="CB34" s="109">
        <v>0</v>
      </c>
      <c r="CC34" s="110">
        <v>0</v>
      </c>
      <c r="CD34" s="110">
        <v>0</v>
      </c>
      <c r="CE34" s="110">
        <v>0</v>
      </c>
      <c r="CF34" s="110">
        <v>0</v>
      </c>
      <c r="CG34" s="110">
        <v>0</v>
      </c>
      <c r="CH34" s="110">
        <v>0</v>
      </c>
      <c r="CI34" s="110">
        <v>0</v>
      </c>
      <c r="CJ34" s="136">
        <v>0</v>
      </c>
      <c r="CK34" s="136">
        <v>0</v>
      </c>
      <c r="CL34" s="136">
        <v>0</v>
      </c>
      <c r="CM34" s="136">
        <v>0</v>
      </c>
      <c r="CN34" s="136">
        <v>0</v>
      </c>
      <c r="CO34" s="136">
        <v>0</v>
      </c>
      <c r="CP34" s="136">
        <v>0</v>
      </c>
      <c r="CQ34" s="136">
        <v>0</v>
      </c>
      <c r="CR34" s="136">
        <v>0</v>
      </c>
      <c r="CS34" s="136">
        <v>0</v>
      </c>
      <c r="CT34" s="136">
        <v>0</v>
      </c>
      <c r="CU34" s="136">
        <v>0</v>
      </c>
      <c r="CV34" s="136">
        <v>0</v>
      </c>
      <c r="CW34" s="136">
        <v>0</v>
      </c>
      <c r="CX34" s="136">
        <v>0</v>
      </c>
      <c r="CY34" s="145">
        <v>0</v>
      </c>
    </row>
    <row r="35" spans="1:106" ht="15" thickBot="1" x14ac:dyDescent="0.4">
      <c r="A35" s="31" t="s">
        <v>89</v>
      </c>
      <c r="B35" s="32" t="s">
        <v>41</v>
      </c>
      <c r="C35" s="33" t="s">
        <v>65</v>
      </c>
      <c r="D35" s="51">
        <f>4107.5*115.6521-D29</f>
        <v>427623.63974999997</v>
      </c>
      <c r="E35" s="52">
        <f>4099.6*116.1223-E29</f>
        <v>429362.20425000001</v>
      </c>
      <c r="F35" s="52">
        <f>3837.5*116.9832-F29</f>
        <v>432545.38199999998</v>
      </c>
      <c r="G35" s="52">
        <f>5707.6*117.4218-G29</f>
        <v>669010.70550000004</v>
      </c>
      <c r="H35" s="52">
        <f>5707.6*117.8553-H29</f>
        <v>671480.57175000012</v>
      </c>
      <c r="I35" s="52">
        <f>5707.6*119.0553-I29</f>
        <v>678317.57175000012</v>
      </c>
      <c r="J35" s="52">
        <f>5707.6*119.8343-J29</f>
        <v>682755.92425000004</v>
      </c>
      <c r="K35" s="52">
        <f>5699.8*119.932-K29</f>
        <v>683324.56320000009</v>
      </c>
      <c r="L35" s="73">
        <f>5699.8*120.415-L29</f>
        <v>684438.86</v>
      </c>
      <c r="M35" s="73">
        <f>5686.2*121.3417-M29</f>
        <v>688055.97568000003</v>
      </c>
      <c r="N35" s="73">
        <f>5686.8*121.8522-N29</f>
        <v>691023.82619999989</v>
      </c>
      <c r="O35" s="73">
        <f>5687.6*122.0421-O29</f>
        <v>694126.64796000009</v>
      </c>
      <c r="P35" s="34">
        <f>5688.8*123.1541-P29</f>
        <v>700599.04408000002</v>
      </c>
      <c r="Q35" s="34">
        <f>5681.7*125.4111-Q29</f>
        <v>712548.24687000003</v>
      </c>
      <c r="R35" s="34">
        <f>5665*126.3835-R29</f>
        <v>715962.52749999997</v>
      </c>
      <c r="S35" s="34">
        <f>5665*126.5582-S29</f>
        <v>716952.20299999998</v>
      </c>
      <c r="T35" s="34">
        <f>5627*127.5727-T29</f>
        <v>717851.58290000004</v>
      </c>
      <c r="U35" s="35">
        <f>5627*128.2704-U29</f>
        <v>721777.54079999996</v>
      </c>
      <c r="V35" s="35">
        <f>5622.8*129.1064-V29</f>
        <v>725939.4659200001</v>
      </c>
      <c r="W35" s="35">
        <f>5610.3*129.0391-W29</f>
        <v>723948.06273000001</v>
      </c>
      <c r="X35" s="35">
        <f>5610.3*128.4404-X29</f>
        <v>710442.38452000008</v>
      </c>
      <c r="Y35" s="35">
        <f>5610.3*128.2591-Y29</f>
        <v>709529.34120000002</v>
      </c>
      <c r="Z35" s="35">
        <f>5610.3*128.1053-Z29</f>
        <v>708678.51960000012</v>
      </c>
      <c r="AA35" s="35">
        <f>5610.28*128.6672-AA29</f>
        <v>711687.87665599992</v>
      </c>
      <c r="AB35" s="35">
        <f>5610.3*129.4011-AB29</f>
        <v>715756.30443000013</v>
      </c>
      <c r="AC35" s="35">
        <f>5602.4*130.1443-AC29</f>
        <v>718839.0266199999</v>
      </c>
      <c r="AD35" s="35">
        <f>5424.4*128.6228-AD29</f>
        <v>697701.51632000005</v>
      </c>
      <c r="AE35" s="35">
        <f>5424.41*128.2195-AE29</f>
        <v>695515.137995</v>
      </c>
      <c r="AF35" s="35">
        <f>6148.5*129.6466-AF29</f>
        <v>797132.12010000006</v>
      </c>
      <c r="AG35" s="35">
        <f>6148.5*129.91-AG29</f>
        <v>798751.63500000001</v>
      </c>
      <c r="AH35" s="35">
        <f>6148.5*127.2868-AH29</f>
        <v>782622.8898</v>
      </c>
      <c r="AI35" s="35">
        <f>6147.8*126.0787-AI29</f>
        <v>775106.63185999996</v>
      </c>
      <c r="AJ35" s="35">
        <f>6141.9*125.0004-AJ29</f>
        <v>767739.95675999997</v>
      </c>
      <c r="AK35" s="35">
        <f>6141.9*125.3866-AK29</f>
        <v>770111.95853999991</v>
      </c>
      <c r="AL35" s="64">
        <f>6141.9*128.154-AL29</f>
        <v>787109.05259999994</v>
      </c>
      <c r="AM35" s="35">
        <f>6141.9*125.985-AM29</f>
        <v>761276.96099999989</v>
      </c>
      <c r="AN35" s="35">
        <v>769697.13</v>
      </c>
      <c r="AO35" s="35">
        <v>785474.83299999998</v>
      </c>
      <c r="AP35" s="68">
        <v>773974.27624000004</v>
      </c>
      <c r="AQ35" s="71">
        <v>807363.97</v>
      </c>
      <c r="AR35" s="71">
        <v>819932.52461999992</v>
      </c>
      <c r="AS35" s="35">
        <v>805106.57414000016</v>
      </c>
      <c r="AT35" s="68">
        <v>766541.34</v>
      </c>
      <c r="AU35" s="68">
        <v>761680.44568999985</v>
      </c>
      <c r="AV35" s="35">
        <v>760464.4</v>
      </c>
      <c r="AW35" s="35">
        <v>810380.23</v>
      </c>
      <c r="AX35" s="102">
        <v>766951.95</v>
      </c>
      <c r="AY35" s="102">
        <v>753020.08</v>
      </c>
      <c r="AZ35" s="103">
        <v>803597.09</v>
      </c>
      <c r="BA35" s="103">
        <v>790759.26</v>
      </c>
      <c r="BB35" s="103">
        <v>779554.33</v>
      </c>
      <c r="BC35" s="103">
        <v>812639.6</v>
      </c>
      <c r="BD35" s="103">
        <v>818981.04</v>
      </c>
      <c r="BE35" s="35">
        <v>730359.23</v>
      </c>
      <c r="BF35" s="35">
        <v>757174.55</v>
      </c>
      <c r="BG35" s="35">
        <v>733814.93</v>
      </c>
      <c r="BH35" s="111">
        <v>716270.31</v>
      </c>
      <c r="BI35" s="111">
        <v>763014.9</v>
      </c>
      <c r="BJ35" s="111">
        <v>740211.19</v>
      </c>
      <c r="BK35" s="111">
        <v>730618.85</v>
      </c>
      <c r="BL35" s="111">
        <v>771424.55</v>
      </c>
      <c r="BM35" s="111">
        <v>774315.41</v>
      </c>
      <c r="BN35" s="111">
        <v>754729.83</v>
      </c>
      <c r="BO35" s="111">
        <v>797837.05</v>
      </c>
      <c r="BP35" s="111">
        <v>804737.5</v>
      </c>
      <c r="BQ35" s="111">
        <v>766015.92</v>
      </c>
      <c r="BR35" s="111">
        <v>766015.92</v>
      </c>
      <c r="BS35" s="111">
        <v>790947.33</v>
      </c>
      <c r="BT35" s="111">
        <v>767824.12</v>
      </c>
      <c r="BU35" s="111">
        <v>805306.4</v>
      </c>
      <c r="BV35" s="111">
        <v>817834.94</v>
      </c>
      <c r="BW35" s="111">
        <v>788995.83444500004</v>
      </c>
      <c r="BX35" s="111">
        <v>830592.6</v>
      </c>
      <c r="BY35" s="111">
        <v>803916.18</v>
      </c>
      <c r="BZ35" s="111">
        <v>798532.58</v>
      </c>
      <c r="CA35" s="111">
        <v>831172.76</v>
      </c>
      <c r="CB35" s="111">
        <v>817752.24199999997</v>
      </c>
      <c r="CC35" s="111">
        <v>788742.47046999994</v>
      </c>
      <c r="CD35" s="111">
        <v>833816.95828999998</v>
      </c>
      <c r="CE35" s="111">
        <v>839261.11</v>
      </c>
      <c r="CF35" s="111">
        <v>829843.80024000001</v>
      </c>
      <c r="CG35" s="111">
        <v>807675.39324999996</v>
      </c>
      <c r="CH35" s="111">
        <v>800194.14</v>
      </c>
      <c r="CI35" s="111">
        <v>790820.31499999994</v>
      </c>
      <c r="CJ35" s="137">
        <v>796351.11699999997</v>
      </c>
      <c r="CK35" s="137">
        <v>795771.55</v>
      </c>
      <c r="CL35" s="137">
        <v>778491.30721999996</v>
      </c>
      <c r="CM35" s="137">
        <v>789192.87882600003</v>
      </c>
      <c r="CN35" s="137">
        <v>778717.32</v>
      </c>
      <c r="CO35" s="137">
        <v>784971.12</v>
      </c>
      <c r="CP35" s="137">
        <v>791727.94</v>
      </c>
      <c r="CQ35" s="137">
        <v>794696.22135199991</v>
      </c>
      <c r="CR35" s="137">
        <v>780124.59</v>
      </c>
      <c r="CS35" s="137">
        <v>790648.04020499997</v>
      </c>
      <c r="CT35" s="137">
        <v>788627.6</v>
      </c>
      <c r="CU35" s="137">
        <v>774278.25</v>
      </c>
      <c r="CV35" s="137">
        <v>786590.22493800009</v>
      </c>
      <c r="CW35" s="137">
        <v>799501.97</v>
      </c>
      <c r="CX35" s="137">
        <v>792384.17</v>
      </c>
      <c r="CY35" s="147">
        <v>778792.81</v>
      </c>
    </row>
    <row r="36" spans="1:106" x14ac:dyDescent="0.35">
      <c r="AC36" s="41"/>
      <c r="AJ36" s="60"/>
      <c r="AM36" s="37"/>
      <c r="AP36" s="9"/>
      <c r="AR36" s="9"/>
      <c r="BA36" s="95"/>
      <c r="BC36" s="9"/>
      <c r="BG36" s="9"/>
      <c r="BH36" s="8"/>
      <c r="BK36" s="61"/>
      <c r="BS36" s="124"/>
      <c r="BU36" s="66"/>
      <c r="BY36" s="131"/>
      <c r="BZ36" s="90"/>
      <c r="CA36" s="82"/>
      <c r="CB36" s="61"/>
      <c r="CD36" s="66"/>
      <c r="CK36" s="66"/>
      <c r="CL36" s="66"/>
      <c r="DA36" s="142"/>
    </row>
    <row r="37" spans="1:106" x14ac:dyDescent="0.35">
      <c r="B37" s="29"/>
      <c r="AB37" s="39"/>
      <c r="AC37" s="39"/>
      <c r="AD37" s="39"/>
      <c r="AE37" s="39"/>
      <c r="AJ37" s="55"/>
      <c r="AR37" s="9"/>
      <c r="AT37" s="45"/>
      <c r="BA37" s="95"/>
      <c r="BC37" s="9"/>
      <c r="BE37" s="62"/>
      <c r="BG37" s="9"/>
      <c r="BI37" s="9"/>
      <c r="BK37" s="61"/>
      <c r="BL37"/>
      <c r="BM37" s="61"/>
      <c r="BT37" s="61"/>
      <c r="BX37" s="90"/>
      <c r="BZ37" s="90"/>
      <c r="CD37" s="61"/>
    </row>
    <row r="38" spans="1:106" x14ac:dyDescent="0.35">
      <c r="B38" s="61"/>
      <c r="W38" s="2"/>
      <c r="AE38" s="9"/>
      <c r="AF38" s="9"/>
      <c r="AJ38" s="60"/>
      <c r="AM38" s="55"/>
      <c r="AR38" s="9"/>
      <c r="AS38" s="9"/>
      <c r="AT38" s="45"/>
      <c r="BA38" s="95"/>
      <c r="BC38" s="9"/>
      <c r="BG38" s="9"/>
      <c r="BL38" s="9"/>
      <c r="BU38" s="8"/>
      <c r="BV38" s="37"/>
      <c r="BX38" s="61"/>
      <c r="CW38" s="139"/>
      <c r="CX38" s="75"/>
    </row>
    <row r="39" spans="1:106" x14ac:dyDescent="0.35">
      <c r="B39" s="8"/>
      <c r="AC39" s="42"/>
      <c r="AF39" s="9"/>
      <c r="AG39" s="9"/>
      <c r="AJ39" s="8"/>
      <c r="AR39" s="9"/>
      <c r="AT39" s="45"/>
      <c r="AW39" t="s">
        <v>127</v>
      </c>
      <c r="BA39" s="95"/>
      <c r="BC39" s="9"/>
      <c r="BG39" s="9"/>
      <c r="BL39" s="9"/>
      <c r="BM39" s="8"/>
      <c r="BU39" s="37"/>
      <c r="CC39" s="37"/>
    </row>
    <row r="40" spans="1:106" x14ac:dyDescent="0.35">
      <c r="AC40" s="42"/>
      <c r="AE40" s="37"/>
      <c r="AF40" s="9"/>
      <c r="AG40" s="9"/>
      <c r="AI40" s="2"/>
      <c r="AM40" s="9"/>
      <c r="AR40" s="9"/>
      <c r="AT40" s="8"/>
      <c r="BA40" s="95"/>
      <c r="BC40" s="9"/>
      <c r="BG40" s="9"/>
      <c r="BJ40" s="124"/>
      <c r="BL40" s="9"/>
      <c r="BX40" s="37"/>
      <c r="CC40" s="8"/>
    </row>
    <row r="41" spans="1:106" x14ac:dyDescent="0.35">
      <c r="B41" s="61"/>
      <c r="AC41" s="41"/>
      <c r="AF41" s="45"/>
      <c r="AG41" s="53"/>
      <c r="AR41" s="9"/>
      <c r="AT41" s="45"/>
      <c r="BA41" s="95"/>
      <c r="BC41" s="9"/>
      <c r="BG41" s="9"/>
      <c r="BL41" s="9"/>
      <c r="BQ41" s="61"/>
      <c r="BR41" s="61"/>
    </row>
    <row r="42" spans="1:106" x14ac:dyDescent="0.35">
      <c r="B42" s="62"/>
      <c r="AC42" s="43"/>
      <c r="AF42" s="46"/>
      <c r="AG42" s="37"/>
      <c r="AR42" s="9"/>
      <c r="BA42" s="95"/>
      <c r="BC42" s="9"/>
      <c r="BG42" s="9"/>
      <c r="BI42" s="113"/>
      <c r="BK42" s="9"/>
      <c r="BL42" s="9"/>
    </row>
    <row r="43" spans="1:106" x14ac:dyDescent="0.35">
      <c r="AC43" s="43"/>
      <c r="AF43" s="8"/>
      <c r="AG43" s="37"/>
      <c r="AR43" s="9"/>
      <c r="BA43" s="95"/>
      <c r="BC43" s="9"/>
      <c r="BD43" s="2"/>
      <c r="BG43" s="9"/>
      <c r="BI43" s="113"/>
      <c r="BL43" s="9"/>
      <c r="CZ43" s="138"/>
      <c r="DA43" s="138"/>
      <c r="DB43" s="138"/>
    </row>
    <row r="44" spans="1:106" x14ac:dyDescent="0.35">
      <c r="AE44" s="9"/>
      <c r="AF44" s="8"/>
      <c r="AR44" s="9"/>
      <c r="BA44" s="95"/>
      <c r="BC44" s="9"/>
      <c r="BG44" s="9"/>
      <c r="BI44" s="113"/>
      <c r="BL44" s="9"/>
      <c r="BN44" s="9"/>
    </row>
    <row r="45" spans="1:106" x14ac:dyDescent="0.35">
      <c r="B45" s="62"/>
      <c r="AE45" s="9"/>
      <c r="AF45" s="44"/>
      <c r="AR45" s="9"/>
      <c r="BA45" s="95"/>
      <c r="BC45" s="9"/>
      <c r="BF45" s="114"/>
      <c r="BG45" s="105"/>
      <c r="BH45" s="84"/>
      <c r="BI45" s="83"/>
      <c r="BJ45" s="9"/>
      <c r="BK45" s="80"/>
      <c r="BL45" s="9"/>
      <c r="BM45" s="9"/>
    </row>
    <row r="46" spans="1:106" x14ac:dyDescent="0.35">
      <c r="B46" s="62"/>
      <c r="AF46" s="8"/>
      <c r="AG46" s="8"/>
      <c r="AR46" s="9"/>
      <c r="BA46" s="95"/>
      <c r="BC46" s="9"/>
      <c r="BF46" s="115"/>
      <c r="BG46" s="106"/>
      <c r="BH46" s="86"/>
      <c r="BI46" s="86"/>
      <c r="BJ46" s="9"/>
      <c r="BK46" s="80"/>
      <c r="BL46" s="9"/>
      <c r="CZ46" s="139"/>
      <c r="DA46" s="138"/>
    </row>
    <row r="47" spans="1:106" x14ac:dyDescent="0.35">
      <c r="AC47" s="42"/>
      <c r="AF47" s="44"/>
      <c r="AG47" s="8"/>
      <c r="AR47" s="9"/>
      <c r="BA47" s="96"/>
      <c r="BB47" s="84"/>
      <c r="BC47" s="105"/>
      <c r="BD47" s="83"/>
      <c r="BF47" s="114"/>
      <c r="BG47" s="107"/>
      <c r="BH47" s="85"/>
      <c r="BI47" s="85"/>
      <c r="BJ47" s="9"/>
      <c r="BK47" s="9"/>
      <c r="BL47" s="9"/>
      <c r="BM47" s="37"/>
    </row>
    <row r="48" spans="1:106" x14ac:dyDescent="0.35">
      <c r="AB48" s="36"/>
      <c r="AC48" s="41"/>
      <c r="AF48" s="8"/>
      <c r="AG48" s="8"/>
      <c r="AI48" s="9"/>
      <c r="AR48" s="9"/>
      <c r="BA48" s="97"/>
      <c r="BB48" s="86"/>
      <c r="BC48" s="106"/>
      <c r="BD48" s="86"/>
      <c r="BF48" s="116"/>
      <c r="BG48" s="106"/>
      <c r="BH48" s="87"/>
      <c r="BI48" s="87"/>
      <c r="BJ48" s="9"/>
      <c r="BK48" s="9"/>
      <c r="BL48" s="9"/>
      <c r="BM48" s="37"/>
    </row>
    <row r="49" spans="25:67" x14ac:dyDescent="0.35">
      <c r="Z49" s="8"/>
      <c r="AG49" s="8"/>
      <c r="AR49" s="9"/>
      <c r="BA49" s="98"/>
      <c r="BB49" s="85"/>
      <c r="BC49" s="107"/>
      <c r="BD49" s="85"/>
      <c r="BF49" s="116"/>
      <c r="BG49" s="106"/>
      <c r="BH49" s="87"/>
      <c r="BI49" s="87"/>
      <c r="BJ49" s="9"/>
      <c r="BK49" s="9"/>
      <c r="BL49" s="9"/>
      <c r="BM49" s="37"/>
    </row>
    <row r="50" spans="25:67" x14ac:dyDescent="0.35">
      <c r="Z50" s="8"/>
      <c r="AB50" s="8"/>
      <c r="AG50" s="8"/>
      <c r="AR50" s="9"/>
      <c r="BA50" s="97"/>
      <c r="BB50" s="87"/>
      <c r="BC50" s="108"/>
      <c r="BD50" s="87"/>
      <c r="BF50" s="116"/>
      <c r="BG50" s="106"/>
      <c r="BH50" s="87"/>
      <c r="BI50" s="87"/>
      <c r="BJ50" s="9"/>
      <c r="BK50" s="9"/>
      <c r="BL50" s="9"/>
      <c r="BM50" s="37"/>
    </row>
    <row r="51" spans="25:67" x14ac:dyDescent="0.35">
      <c r="Z51" s="8"/>
      <c r="AA51" s="36"/>
      <c r="AB51" s="8"/>
      <c r="AC51" s="43"/>
      <c r="AR51" s="9"/>
      <c r="BA51" s="97"/>
      <c r="BB51" s="87"/>
      <c r="BC51" s="108"/>
      <c r="BD51" s="87"/>
      <c r="BF51" s="116"/>
      <c r="BG51" s="108"/>
      <c r="BH51" s="87"/>
      <c r="BI51" s="87"/>
      <c r="BJ51" s="9"/>
      <c r="BK51" s="9"/>
      <c r="BL51" s="9"/>
      <c r="BM51" s="37"/>
    </row>
    <row r="52" spans="25:67" x14ac:dyDescent="0.35">
      <c r="Y52" s="36"/>
      <c r="Z52" s="8"/>
      <c r="AB52" s="8"/>
      <c r="AR52" s="9"/>
      <c r="BA52" s="97"/>
      <c r="BB52" s="87"/>
      <c r="BC52" s="108"/>
      <c r="BD52" s="86"/>
      <c r="BF52" s="115"/>
      <c r="BG52" s="106"/>
      <c r="BH52" s="86"/>
      <c r="BI52" s="86"/>
      <c r="BJ52" s="9"/>
      <c r="BK52" s="80"/>
      <c r="BL52" s="9"/>
      <c r="BM52" s="37"/>
    </row>
    <row r="53" spans="25:67" x14ac:dyDescent="0.35">
      <c r="Z53" s="8"/>
      <c r="AB53" s="8"/>
      <c r="AR53" s="9"/>
      <c r="BA53" s="99"/>
      <c r="BB53" s="87"/>
      <c r="BC53" s="108"/>
      <c r="BD53" s="87"/>
      <c r="BF53" s="114"/>
      <c r="BG53" s="105"/>
      <c r="BH53" s="83"/>
      <c r="BI53" s="83"/>
      <c r="BJ53" s="9"/>
      <c r="BK53" s="80"/>
      <c r="BL53" s="9"/>
      <c r="BM53" s="37"/>
    </row>
    <row r="54" spans="25:67" x14ac:dyDescent="0.35">
      <c r="Z54" s="8"/>
      <c r="AB54" s="8"/>
      <c r="AR54" s="9"/>
      <c r="BA54" s="97"/>
      <c r="BB54" s="86"/>
      <c r="BC54" s="106"/>
      <c r="BD54" s="86"/>
      <c r="BF54" s="115"/>
      <c r="BG54" s="106"/>
      <c r="BH54" s="86"/>
      <c r="BI54" s="86"/>
      <c r="BJ54" s="9"/>
      <c r="BK54" s="80"/>
      <c r="BL54" s="9"/>
      <c r="BM54" s="37"/>
    </row>
    <row r="55" spans="25:67" x14ac:dyDescent="0.35">
      <c r="Z55" s="8"/>
      <c r="AB55" s="8"/>
      <c r="AR55" s="9"/>
      <c r="BA55" s="96"/>
      <c r="BB55" s="83"/>
      <c r="BC55" s="105"/>
      <c r="BD55" s="85"/>
      <c r="BF55" s="114"/>
      <c r="BG55" s="107"/>
      <c r="BH55" s="85"/>
      <c r="BI55" s="85"/>
      <c r="BJ55" s="9"/>
      <c r="BK55" s="80"/>
      <c r="BL55" s="9"/>
      <c r="BM55" s="37"/>
    </row>
    <row r="56" spans="25:67" x14ac:dyDescent="0.35">
      <c r="Y56" s="36"/>
      <c r="Z56" s="8"/>
      <c r="AB56" s="8"/>
      <c r="AR56" s="9"/>
      <c r="BA56" s="97"/>
      <c r="BB56" s="86"/>
      <c r="BC56" s="106"/>
      <c r="BD56" s="86"/>
      <c r="BF56" s="115"/>
      <c r="BG56" s="106"/>
      <c r="BH56" s="86"/>
      <c r="BI56" s="86"/>
      <c r="BJ56" s="9"/>
      <c r="BK56" s="80"/>
      <c r="BL56" s="9"/>
      <c r="BM56" s="37"/>
    </row>
    <row r="57" spans="25:67" x14ac:dyDescent="0.35">
      <c r="Y57" s="9"/>
      <c r="Z57" s="8"/>
      <c r="AB57" s="8"/>
      <c r="AR57" s="9"/>
      <c r="BA57" s="98"/>
      <c r="BB57" s="85"/>
      <c r="BC57" s="107"/>
      <c r="BD57" s="85"/>
      <c r="BF57" s="114"/>
      <c r="BG57" s="105"/>
      <c r="BH57" s="83"/>
      <c r="BI57" s="83"/>
      <c r="BJ57" s="9"/>
      <c r="BK57" s="36"/>
      <c r="BL57" s="36"/>
      <c r="BM57" s="90"/>
      <c r="BN57" s="36"/>
      <c r="BO57" s="82"/>
    </row>
    <row r="58" spans="25:67" x14ac:dyDescent="0.35">
      <c r="Y58" s="9"/>
      <c r="Z58" s="8"/>
      <c r="AA58" s="36"/>
      <c r="AB58" s="8"/>
      <c r="AR58" s="9"/>
      <c r="BA58" s="97"/>
      <c r="BB58" s="86"/>
      <c r="BC58" s="106"/>
      <c r="BD58" s="86"/>
      <c r="BF58" s="115"/>
      <c r="BG58" s="106"/>
      <c r="BH58" s="86"/>
      <c r="BI58" s="86"/>
      <c r="BL58" s="9"/>
    </row>
    <row r="59" spans="25:67" x14ac:dyDescent="0.35">
      <c r="Z59" s="8"/>
      <c r="AA59" s="37"/>
      <c r="AB59" s="8"/>
      <c r="AR59" s="9"/>
      <c r="BA59" s="96"/>
      <c r="BB59" s="83"/>
      <c r="BC59" s="105"/>
      <c r="BD59" s="83"/>
      <c r="BF59" s="114"/>
      <c r="BG59" s="107"/>
      <c r="BH59" s="85"/>
      <c r="BI59" s="85"/>
      <c r="BJ59" s="85"/>
      <c r="BK59" s="85"/>
      <c r="BL59" s="107"/>
      <c r="BM59" s="85"/>
      <c r="BN59" s="107"/>
    </row>
    <row r="60" spans="25:67" x14ac:dyDescent="0.35">
      <c r="Y60" s="36"/>
      <c r="Z60" s="8"/>
      <c r="AB60" s="8"/>
      <c r="AR60" s="9"/>
      <c r="BA60" s="97"/>
      <c r="BB60" s="86"/>
      <c r="BC60" s="106"/>
      <c r="BD60" s="86"/>
      <c r="BF60" s="114"/>
      <c r="BG60" s="107"/>
      <c r="BH60" s="88"/>
      <c r="BI60" s="88"/>
      <c r="BL60" s="9"/>
    </row>
    <row r="61" spans="25:67" x14ac:dyDescent="0.35">
      <c r="Z61" s="8"/>
      <c r="AB61" s="8"/>
      <c r="AR61" s="9"/>
      <c r="BA61" s="98"/>
      <c r="BB61" s="85"/>
      <c r="BC61" s="107"/>
      <c r="BD61" s="85"/>
      <c r="BF61" s="115"/>
      <c r="BG61" s="42"/>
      <c r="BH61" s="89"/>
      <c r="BI61" s="89"/>
      <c r="BL61" s="9"/>
    </row>
    <row r="62" spans="25:67" x14ac:dyDescent="0.35">
      <c r="AB62" s="8"/>
      <c r="AR62" s="9"/>
      <c r="BA62" s="98"/>
      <c r="BB62" s="88"/>
      <c r="BC62" s="106"/>
      <c r="BD62" s="88"/>
      <c r="BH62" s="81"/>
    </row>
    <row r="63" spans="25:67" x14ac:dyDescent="0.35">
      <c r="Y63" s="36"/>
      <c r="AR63" s="9"/>
      <c r="BA63" s="100"/>
      <c r="BB63" s="89"/>
      <c r="BC63" s="42"/>
      <c r="BD63" s="89"/>
      <c r="BG63" s="82"/>
      <c r="BH63" s="82"/>
      <c r="BI63" s="82"/>
      <c r="BJ63" s="90"/>
      <c r="BK63" s="36"/>
      <c r="BL63" s="36"/>
      <c r="BM63" s="90"/>
      <c r="BN63" s="36"/>
    </row>
    <row r="64" spans="25:67" x14ac:dyDescent="0.35">
      <c r="BB64" s="81"/>
      <c r="BK64" s="37"/>
    </row>
    <row r="65" spans="25:63" x14ac:dyDescent="0.35">
      <c r="BA65" s="101"/>
      <c r="BB65" s="82"/>
      <c r="BC65" s="82"/>
      <c r="BD65" s="82"/>
      <c r="BH65" s="61"/>
    </row>
    <row r="66" spans="25:63" x14ac:dyDescent="0.35">
      <c r="BK66" s="61"/>
    </row>
    <row r="67" spans="25:63" x14ac:dyDescent="0.35">
      <c r="Y67" s="9"/>
      <c r="BB67" s="61"/>
      <c r="BI67" s="61"/>
    </row>
    <row r="70" spans="25:63" x14ac:dyDescent="0.35">
      <c r="BE70" s="143"/>
      <c r="BF70" s="143"/>
      <c r="BG70" s="143"/>
      <c r="BH70" s="143"/>
      <c r="BI70" s="143"/>
    </row>
    <row r="71" spans="25:63" x14ac:dyDescent="0.35">
      <c r="BE71" s="143"/>
      <c r="BF71" s="143"/>
      <c r="BG71" s="143"/>
      <c r="BH71" s="143"/>
      <c r="BI71" s="143"/>
    </row>
    <row r="72" spans="25:63" x14ac:dyDescent="0.35">
      <c r="BE72" s="143"/>
      <c r="BF72" s="143"/>
      <c r="BG72" s="143"/>
      <c r="BH72" s="143"/>
      <c r="BI72" s="143"/>
    </row>
    <row r="73" spans="25:63" x14ac:dyDescent="0.35">
      <c r="BE73" s="143"/>
      <c r="BF73" s="143"/>
      <c r="BG73" s="143"/>
      <c r="BH73" s="143"/>
      <c r="BI73" s="143"/>
    </row>
    <row r="74" spans="25:63" x14ac:dyDescent="0.35">
      <c r="Z74" s="8"/>
      <c r="BG74" s="9"/>
    </row>
    <row r="75" spans="25:63" x14ac:dyDescent="0.35">
      <c r="Z75" s="8"/>
      <c r="BF75" s="128"/>
      <c r="BG75" s="126"/>
      <c r="BH75" s="128"/>
      <c r="BI75" s="117"/>
    </row>
    <row r="76" spans="25:63" x14ac:dyDescent="0.35">
      <c r="Z76" s="8"/>
      <c r="BG76" s="9"/>
    </row>
    <row r="77" spans="25:63" x14ac:dyDescent="0.35">
      <c r="Z77" s="8"/>
      <c r="BG77" s="9"/>
    </row>
    <row r="78" spans="25:63" x14ac:dyDescent="0.35">
      <c r="Z78" s="8"/>
      <c r="BE78" s="118"/>
      <c r="BF78" s="38"/>
      <c r="BG78" s="38"/>
      <c r="BH78" s="38"/>
      <c r="BI78" s="38"/>
    </row>
    <row r="79" spans="25:63" x14ac:dyDescent="0.35">
      <c r="Z79" s="8"/>
      <c r="BE79" s="119"/>
      <c r="BF79" s="38"/>
      <c r="BG79" s="38"/>
      <c r="BH79" s="38"/>
      <c r="BI79" s="38"/>
    </row>
    <row r="80" spans="25:63" x14ac:dyDescent="0.35">
      <c r="Z80" s="8"/>
      <c r="BF80" s="120"/>
      <c r="BG80" s="120"/>
      <c r="BH80" s="120"/>
      <c r="BI80" s="120"/>
    </row>
    <row r="81" spans="26:61" x14ac:dyDescent="0.35">
      <c r="Z81" s="8"/>
      <c r="BE81" s="119"/>
      <c r="BF81" s="38"/>
      <c r="BG81" s="38"/>
      <c r="BH81" s="38"/>
      <c r="BI81" s="38"/>
    </row>
    <row r="82" spans="26:61" x14ac:dyDescent="0.35">
      <c r="Z82" s="8"/>
      <c r="BF82" s="38"/>
      <c r="BG82" s="38"/>
      <c r="BH82" s="38"/>
      <c r="BI82" s="38"/>
    </row>
    <row r="83" spans="26:61" x14ac:dyDescent="0.35">
      <c r="Z83" s="8"/>
      <c r="BF83" s="38"/>
      <c r="BG83" s="38"/>
      <c r="BH83" s="38"/>
      <c r="BI83" s="38"/>
    </row>
    <row r="84" spans="26:61" x14ac:dyDescent="0.35">
      <c r="Z84" s="8"/>
      <c r="BF84" s="121"/>
      <c r="BG84" s="127"/>
      <c r="BH84" s="121"/>
      <c r="BI84" s="121"/>
    </row>
    <row r="85" spans="26:61" x14ac:dyDescent="0.35">
      <c r="Z85" s="8"/>
      <c r="BE85" s="119"/>
      <c r="BF85" s="38"/>
      <c r="BG85" s="38"/>
      <c r="BH85" s="38"/>
      <c r="BI85" s="38"/>
    </row>
    <row r="86" spans="26:61" x14ac:dyDescent="0.35">
      <c r="Z86" s="8"/>
      <c r="BF86" s="38"/>
      <c r="BG86" s="38"/>
      <c r="BH86" s="38"/>
      <c r="BI86" s="38"/>
    </row>
    <row r="87" spans="26:61" x14ac:dyDescent="0.35">
      <c r="BF87" s="38"/>
      <c r="BG87" s="38"/>
      <c r="BH87" s="38"/>
      <c r="BI87" s="38"/>
    </row>
    <row r="88" spans="26:61" x14ac:dyDescent="0.35">
      <c r="BF88" s="38"/>
      <c r="BG88" s="38"/>
      <c r="BH88" s="38"/>
      <c r="BI88" s="38"/>
    </row>
    <row r="89" spans="26:61" x14ac:dyDescent="0.35">
      <c r="BF89" s="38"/>
      <c r="BG89" s="38"/>
      <c r="BH89" s="38"/>
      <c r="BI89" s="38"/>
    </row>
    <row r="90" spans="26:61" x14ac:dyDescent="0.35">
      <c r="BF90" s="38"/>
      <c r="BG90" s="38"/>
      <c r="BH90" s="38"/>
      <c r="BI90" s="38"/>
    </row>
    <row r="91" spans="26:61" x14ac:dyDescent="0.35">
      <c r="BF91" s="38"/>
      <c r="BG91" s="38"/>
      <c r="BH91" s="38"/>
      <c r="BI91" s="38"/>
    </row>
    <row r="92" spans="26:61" x14ac:dyDescent="0.35">
      <c r="BE92" s="122"/>
      <c r="BF92" s="123"/>
      <c r="BG92" s="123"/>
      <c r="BH92" s="123"/>
      <c r="BI92" s="123"/>
    </row>
  </sheetData>
  <mergeCells count="4">
    <mergeCell ref="BE70:BI70"/>
    <mergeCell ref="BE71:BI71"/>
    <mergeCell ref="BE72:BI72"/>
    <mergeCell ref="BE73:BI73"/>
  </mergeCells>
  <phoneticPr fontId="26" type="noConversion"/>
  <dataValidations disablePrompts="1" count="2">
    <dataValidation type="list" allowBlank="1" showInputMessage="1" showErrorMessage="1" sqref="B6" xr:uid="{00000000-0002-0000-0000-000000000000}">
      <formula1>$WXF$2:$WXF$4</formula1>
    </dataValidation>
    <dataValidation type="list" allowBlank="1" showErrorMessage="1" prompt="_x000a_" sqref="B5" xr:uid="{00000000-0002-0000-0000-000001000000}">
      <formula1>$WXG$2:$WXG$5</formula1>
    </dataValidation>
  </dataValidations>
  <pageMargins left="0.17" right="0.17" top="0.75" bottom="0.75" header="0.3" footer="0.3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Ministry of Finance and Planning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yvolyn.maxwell;Melisha Forbes</dc:creator>
  <cp:lastModifiedBy>Sandria Haase</cp:lastModifiedBy>
  <cp:lastPrinted>2022-11-09T21:09:03Z</cp:lastPrinted>
  <dcterms:created xsi:type="dcterms:W3CDTF">2017-01-20T01:08:50Z</dcterms:created>
  <dcterms:modified xsi:type="dcterms:W3CDTF">2023-09-01T16:32:00Z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