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479DCA2-086E-4364-B6DE-F40F7CE404F5}" xr6:coauthVersionLast="47" xr6:coauthVersionMax="47" xr10:uidLastSave="{00000000-0000-0000-0000-000000000000}"/>
  <bookViews>
    <workbookView xWindow="-110" yWindow="-110" windowWidth="19420" windowHeight="10560" firstSheet="1" activeTab="2" xr2:uid="{00000000-000D-0000-FFFF-FFFF00000000}"/>
  </bookViews>
  <sheets>
    <sheet name="Summary (adjusted 1)" sheetId="1" state="hidden" r:id="rId1"/>
    <sheet name="Summary" sheetId="6" r:id="rId2"/>
    <sheet name="Revenue Details" sheetId="3" r:id="rId3"/>
    <sheet name="Summary (3)" sheetId="5" state="hidden" r:id="rId4"/>
    <sheet name="Summary (original)" sheetId="4" state="hidden" r:id="rId5"/>
    <sheet name="Sheet4" sheetId="7" state="hidden" r:id="rId6"/>
    <sheet name="Sheet1" sheetId="8" state="hidden" r:id="rId7"/>
  </sheets>
  <definedNames>
    <definedName name="_xlnm.Print_Area" localSheetId="1">Summary!$A$1:$U$29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6" l="1"/>
  <c r="R25" i="6"/>
  <c r="R16" i="6"/>
  <c r="R18" i="6"/>
  <c r="R19" i="6"/>
  <c r="R21" i="6"/>
  <c r="G17" i="6" l="1"/>
  <c r="H17" i="6"/>
  <c r="I17" i="6"/>
  <c r="J17" i="6"/>
  <c r="K17" i="6"/>
  <c r="L17" i="6"/>
  <c r="M17" i="6"/>
  <c r="N17" i="6"/>
  <c r="O17" i="6"/>
  <c r="P17" i="6"/>
  <c r="Q17" i="6"/>
  <c r="R17" i="6"/>
  <c r="H25" i="6" l="1"/>
  <c r="G25" i="6"/>
  <c r="G35" i="8" l="1"/>
  <c r="K35" i="8" s="1"/>
  <c r="G34" i="8"/>
  <c r="K34" i="8" s="1"/>
  <c r="G31" i="8"/>
  <c r="K31" i="8" s="1"/>
  <c r="G30" i="8"/>
  <c r="K30" i="8" s="1"/>
  <c r="G28" i="8"/>
  <c r="K28" i="8" s="1"/>
  <c r="G27" i="8"/>
  <c r="K27" i="8" s="1"/>
  <c r="G22" i="8"/>
  <c r="K22" i="8" s="1"/>
  <c r="G19" i="8"/>
  <c r="K19" i="8" s="1"/>
  <c r="G18" i="8"/>
  <c r="K18" i="8" s="1"/>
  <c r="G16" i="8"/>
  <c r="K16" i="8" s="1"/>
  <c r="G15" i="8"/>
  <c r="K15" i="8" s="1"/>
  <c r="G13" i="8"/>
  <c r="K13" i="8" s="1"/>
  <c r="R48" i="4" l="1"/>
  <c r="R49" i="4" s="1"/>
  <c r="Q48" i="4"/>
  <c r="Q49" i="4" s="1"/>
  <c r="P48" i="4"/>
  <c r="P49" i="4" s="1"/>
  <c r="O48" i="4"/>
  <c r="O49" i="4" s="1"/>
  <c r="N48" i="4"/>
  <c r="N49" i="4" s="1"/>
  <c r="M48" i="4"/>
  <c r="M49" i="4" s="1"/>
  <c r="L48" i="4"/>
  <c r="L49" i="4" s="1"/>
  <c r="K48" i="4"/>
  <c r="K49" i="4" s="1"/>
  <c r="J48" i="4"/>
  <c r="J49" i="4" s="1"/>
  <c r="I48" i="4"/>
  <c r="I49" i="4" s="1"/>
  <c r="H48" i="4"/>
  <c r="H49" i="4" s="1"/>
  <c r="G48" i="4"/>
  <c r="G49" i="4" s="1"/>
  <c r="J61" i="5"/>
  <c r="N61" i="5"/>
  <c r="R61" i="5"/>
  <c r="Q61" i="5"/>
  <c r="G26" i="8"/>
  <c r="K26" i="8" s="1"/>
  <c r="Q24" i="6"/>
  <c r="O24" i="6"/>
  <c r="I24" i="6"/>
  <c r="R24" i="6"/>
  <c r="P24" i="6"/>
  <c r="N24" i="6"/>
  <c r="M24" i="6"/>
  <c r="L24" i="6"/>
  <c r="K24" i="6"/>
  <c r="J24" i="6"/>
  <c r="H24" i="6"/>
  <c r="G24" i="6"/>
  <c r="T22" i="6"/>
  <c r="T21" i="6"/>
  <c r="R20" i="6"/>
  <c r="Q20" i="6"/>
  <c r="P20" i="6"/>
  <c r="P15" i="6" s="1"/>
  <c r="O20" i="6"/>
  <c r="O15" i="6" s="1"/>
  <c r="N20" i="6"/>
  <c r="M20" i="6"/>
  <c r="M15" i="6" s="1"/>
  <c r="L20" i="6"/>
  <c r="K20" i="6"/>
  <c r="J20" i="6"/>
  <c r="I20" i="6"/>
  <c r="H20" i="6"/>
  <c r="G20" i="6"/>
  <c r="T19" i="6"/>
  <c r="T18" i="6"/>
  <c r="T16" i="6"/>
  <c r="R12" i="6"/>
  <c r="Q12" i="6"/>
  <c r="P12" i="6"/>
  <c r="O12" i="6"/>
  <c r="N12" i="6"/>
  <c r="M12" i="6"/>
  <c r="L12" i="6"/>
  <c r="K12" i="6"/>
  <c r="J12" i="6"/>
  <c r="I12" i="6"/>
  <c r="H12" i="6"/>
  <c r="G12" i="6"/>
  <c r="R11" i="6"/>
  <c r="Q11" i="6"/>
  <c r="P11" i="6"/>
  <c r="O11" i="6"/>
  <c r="N11" i="6"/>
  <c r="M11" i="6"/>
  <c r="L11" i="6"/>
  <c r="K11" i="6"/>
  <c r="J11" i="6"/>
  <c r="I11" i="6"/>
  <c r="H11" i="6"/>
  <c r="G11" i="6"/>
  <c r="R10" i="6"/>
  <c r="Q10" i="6"/>
  <c r="P10" i="6"/>
  <c r="O10" i="6"/>
  <c r="N10" i="6"/>
  <c r="M10" i="6"/>
  <c r="L10" i="6"/>
  <c r="K10" i="6"/>
  <c r="J10" i="6"/>
  <c r="I10" i="6"/>
  <c r="H10" i="6"/>
  <c r="G10" i="6"/>
  <c r="R9" i="6"/>
  <c r="Q9" i="6"/>
  <c r="P9" i="6"/>
  <c r="O9" i="6"/>
  <c r="N9" i="6"/>
  <c r="M9" i="6"/>
  <c r="L9" i="6"/>
  <c r="K9" i="6"/>
  <c r="J9" i="6"/>
  <c r="I9" i="6"/>
  <c r="H9" i="6"/>
  <c r="G9" i="6"/>
  <c r="P61" i="5"/>
  <c r="H61" i="5"/>
  <c r="H66" i="5" s="1"/>
  <c r="O14" i="6" l="1"/>
  <c r="G15" i="6"/>
  <c r="G14" i="6" s="1"/>
  <c r="I15" i="6"/>
  <c r="I14" i="6" s="1"/>
  <c r="K15" i="6"/>
  <c r="K14" i="6" s="1"/>
  <c r="M14" i="6"/>
  <c r="R15" i="6"/>
  <c r="R14" i="6" s="1"/>
  <c r="H15" i="6"/>
  <c r="H14" i="6" s="1"/>
  <c r="J15" i="6"/>
  <c r="J14" i="6" s="1"/>
  <c r="L15" i="6"/>
  <c r="L14" i="6" s="1"/>
  <c r="N15" i="6"/>
  <c r="N14" i="6" s="1"/>
  <c r="P14" i="6"/>
  <c r="G17" i="8"/>
  <c r="K17" i="8" s="1"/>
  <c r="Q15" i="6"/>
  <c r="Q14" i="6" s="1"/>
  <c r="G21" i="8"/>
  <c r="K21" i="8" s="1"/>
  <c r="G33" i="8"/>
  <c r="K33" i="8" s="1"/>
  <c r="T17" i="6"/>
  <c r="G14" i="8"/>
  <c r="K14" i="8" s="1"/>
  <c r="G6" i="8"/>
  <c r="K6" i="8" s="1"/>
  <c r="G7" i="8"/>
  <c r="K7" i="8" s="1"/>
  <c r="G8" i="8"/>
  <c r="K8" i="8" s="1"/>
  <c r="G9" i="8"/>
  <c r="K9" i="8" s="1"/>
  <c r="T9" i="6"/>
  <c r="T10" i="6"/>
  <c r="T11" i="6"/>
  <c r="T12" i="6"/>
  <c r="T20" i="6"/>
  <c r="T25" i="6"/>
  <c r="T24" i="6" l="1"/>
  <c r="G12" i="8"/>
  <c r="K12" i="8" s="1"/>
  <c r="T15" i="6"/>
  <c r="G11" i="8"/>
  <c r="K11" i="8" s="1"/>
  <c r="T14" i="6" l="1"/>
  <c r="L61" i="5" l="1"/>
  <c r="O61" i="5"/>
  <c r="T38" i="5"/>
  <c r="T37" i="5"/>
  <c r="T34" i="5"/>
  <c r="T33" i="5"/>
  <c r="T31" i="5"/>
  <c r="T30" i="5"/>
  <c r="T25" i="5"/>
  <c r="T22" i="5"/>
  <c r="T21" i="5"/>
  <c r="T19" i="5"/>
  <c r="T18" i="5"/>
  <c r="T16" i="5"/>
  <c r="R42" i="5" s="1"/>
  <c r="K61" i="5"/>
  <c r="G61" i="5"/>
  <c r="T61" i="5" s="1"/>
  <c r="V61" i="5" s="1"/>
  <c r="H58" i="5"/>
  <c r="I58" i="5"/>
  <c r="J58" i="5"/>
  <c r="K58" i="5"/>
  <c r="L58" i="5"/>
  <c r="M58" i="5"/>
  <c r="G58" i="5"/>
  <c r="I55" i="5" l="1"/>
  <c r="R44" i="5"/>
  <c r="R45" i="5" s="1"/>
  <c r="H55" i="5"/>
  <c r="N45" i="5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H48" i="5"/>
  <c r="I48" i="5"/>
  <c r="J48" i="5"/>
  <c r="K48" i="5"/>
  <c r="L48" i="5"/>
  <c r="G48" i="5"/>
  <c r="O43" i="5"/>
  <c r="N43" i="5"/>
  <c r="M42" i="5" s="1"/>
  <c r="R25" i="1"/>
  <c r="Q25" i="1"/>
  <c r="P25" i="1"/>
  <c r="O25" i="1"/>
  <c r="N25" i="1"/>
  <c r="I23" i="5"/>
  <c r="J23" i="5"/>
  <c r="K23" i="5"/>
  <c r="L23" i="5"/>
  <c r="H23" i="5"/>
  <c r="I43" i="5" s="1"/>
  <c r="L25" i="1"/>
  <c r="L16" i="1"/>
  <c r="J25" i="1"/>
  <c r="I25" i="1"/>
  <c r="H25" i="1"/>
  <c r="Y38" i="5"/>
  <c r="X38" i="5"/>
  <c r="W38" i="5"/>
  <c r="V38" i="5"/>
  <c r="Y37" i="5"/>
  <c r="Y36" i="5" s="1"/>
  <c r="X37" i="5"/>
  <c r="X36" i="5" s="1"/>
  <c r="W37" i="5"/>
  <c r="W36" i="5" s="1"/>
  <c r="V37" i="5"/>
  <c r="T36" i="5"/>
  <c r="R36" i="5"/>
  <c r="Q36" i="5"/>
  <c r="P36" i="5"/>
  <c r="O36" i="5"/>
  <c r="N36" i="5"/>
  <c r="M36" i="5"/>
  <c r="L36" i="5"/>
  <c r="K36" i="5"/>
  <c r="J36" i="5"/>
  <c r="I36" i="5"/>
  <c r="H36" i="5"/>
  <c r="G36" i="5"/>
  <c r="Y34" i="5"/>
  <c r="X34" i="5"/>
  <c r="W34" i="5"/>
  <c r="V34" i="5"/>
  <c r="AA34" i="5" s="1"/>
  <c r="Y33" i="5"/>
  <c r="X33" i="5"/>
  <c r="W33" i="5"/>
  <c r="V33" i="5"/>
  <c r="Y31" i="5"/>
  <c r="X31" i="5"/>
  <c r="W31" i="5"/>
  <c r="V31" i="5"/>
  <c r="AA31" i="5" s="1"/>
  <c r="Y30" i="5"/>
  <c r="Y29" i="5" s="1"/>
  <c r="X30" i="5"/>
  <c r="X29" i="5" s="1"/>
  <c r="W30" i="5"/>
  <c r="W29" i="5" s="1"/>
  <c r="V30" i="5"/>
  <c r="T29" i="5"/>
  <c r="R29" i="5"/>
  <c r="Q29" i="5"/>
  <c r="P29" i="5"/>
  <c r="O29" i="5"/>
  <c r="N29" i="5"/>
  <c r="M29" i="5"/>
  <c r="L29" i="5"/>
  <c r="K29" i="5"/>
  <c r="J29" i="5"/>
  <c r="I29" i="5"/>
  <c r="H29" i="5"/>
  <c r="G29" i="5"/>
  <c r="Y25" i="5"/>
  <c r="Y24" i="5" s="1"/>
  <c r="X25" i="5"/>
  <c r="X24" i="5" s="1"/>
  <c r="W25" i="5"/>
  <c r="W24" i="5" s="1"/>
  <c r="V25" i="5"/>
  <c r="T24" i="5"/>
  <c r="R24" i="5"/>
  <c r="Q24" i="5"/>
  <c r="P24" i="5"/>
  <c r="O24" i="5"/>
  <c r="N24" i="5"/>
  <c r="M24" i="5"/>
  <c r="L24" i="5"/>
  <c r="K24" i="5"/>
  <c r="J24" i="5"/>
  <c r="I24" i="5"/>
  <c r="H24" i="5"/>
  <c r="G24" i="5"/>
  <c r="Y22" i="5"/>
  <c r="X22" i="5"/>
  <c r="W22" i="5"/>
  <c r="W20" i="5" s="1"/>
  <c r="V22" i="5"/>
  <c r="AA22" i="5" s="1"/>
  <c r="Y21" i="5"/>
  <c r="X21" i="5"/>
  <c r="W21" i="5"/>
  <c r="V21" i="5"/>
  <c r="AC21" i="5" s="1"/>
  <c r="AD21" i="5" s="1"/>
  <c r="R20" i="5"/>
  <c r="Q20" i="5"/>
  <c r="P20" i="5"/>
  <c r="O20" i="5"/>
  <c r="O15" i="5" s="1"/>
  <c r="O14" i="5" s="1"/>
  <c r="N20" i="5"/>
  <c r="N15" i="5" s="1"/>
  <c r="M20" i="5"/>
  <c r="L20" i="5"/>
  <c r="K20" i="5"/>
  <c r="J20" i="5"/>
  <c r="I20" i="5"/>
  <c r="H20" i="5"/>
  <c r="G20" i="5"/>
  <c r="Y19" i="5"/>
  <c r="X19" i="5"/>
  <c r="W19" i="5"/>
  <c r="V19" i="5"/>
  <c r="AA19" i="5" s="1"/>
  <c r="Y18" i="5"/>
  <c r="X18" i="5"/>
  <c r="W18" i="5"/>
  <c r="V18" i="5"/>
  <c r="R17" i="5"/>
  <c r="R15" i="5" s="1"/>
  <c r="Q17" i="5"/>
  <c r="Q15" i="5" s="1"/>
  <c r="P17" i="5"/>
  <c r="P15" i="5" s="1"/>
  <c r="O17" i="5"/>
  <c r="N17" i="5"/>
  <c r="M17" i="5"/>
  <c r="L17" i="5"/>
  <c r="K17" i="5"/>
  <c r="J17" i="5"/>
  <c r="I17" i="5"/>
  <c r="I2" i="5" s="1"/>
  <c r="H17" i="5"/>
  <c r="G17" i="5"/>
  <c r="Y16" i="5"/>
  <c r="X16" i="5"/>
  <c r="W16" i="5"/>
  <c r="V16" i="5"/>
  <c r="AC16" i="5" s="1"/>
  <c r="AD16" i="5" s="1"/>
  <c r="R12" i="5"/>
  <c r="Q12" i="5"/>
  <c r="P12" i="5"/>
  <c r="O12" i="5"/>
  <c r="N12" i="5"/>
  <c r="M12" i="5"/>
  <c r="L12" i="5"/>
  <c r="K12" i="5"/>
  <c r="J12" i="5"/>
  <c r="I12" i="5"/>
  <c r="H12" i="5"/>
  <c r="G12" i="5"/>
  <c r="R11" i="5"/>
  <c r="Q11" i="5"/>
  <c r="P11" i="5"/>
  <c r="O11" i="5"/>
  <c r="N11" i="5"/>
  <c r="M11" i="5"/>
  <c r="L11" i="5"/>
  <c r="K11" i="5"/>
  <c r="J11" i="5"/>
  <c r="I11" i="5"/>
  <c r="H11" i="5"/>
  <c r="G11" i="5"/>
  <c r="R10" i="5"/>
  <c r="Q10" i="5"/>
  <c r="P10" i="5"/>
  <c r="O10" i="5"/>
  <c r="N10" i="5"/>
  <c r="M10" i="5"/>
  <c r="L10" i="5"/>
  <c r="K10" i="5"/>
  <c r="J10" i="5"/>
  <c r="I10" i="5"/>
  <c r="H10" i="5"/>
  <c r="G10" i="5"/>
  <c r="R9" i="5"/>
  <c r="Q9" i="5"/>
  <c r="P9" i="5"/>
  <c r="O9" i="5"/>
  <c r="N9" i="5"/>
  <c r="M9" i="5"/>
  <c r="L9" i="5"/>
  <c r="K9" i="5"/>
  <c r="J9" i="5"/>
  <c r="I9" i="5"/>
  <c r="H9" i="5"/>
  <c r="G9" i="5"/>
  <c r="AA5" i="5"/>
  <c r="P43" i="5" l="1"/>
  <c r="AA38" i="5"/>
  <c r="AA30" i="5"/>
  <c r="AA29" i="5" s="1"/>
  <c r="AA25" i="5"/>
  <c r="AA24" i="5" s="1"/>
  <c r="Y20" i="5"/>
  <c r="X20" i="5"/>
  <c r="N14" i="5"/>
  <c r="Y17" i="5"/>
  <c r="X17" i="5"/>
  <c r="W17" i="5"/>
  <c r="R14" i="5"/>
  <c r="Q14" i="5"/>
  <c r="P14" i="5"/>
  <c r="M15" i="5"/>
  <c r="M14" i="5" s="1"/>
  <c r="L15" i="5"/>
  <c r="L14" i="5" s="1"/>
  <c r="K15" i="5"/>
  <c r="K14" i="5" s="1"/>
  <c r="J15" i="5"/>
  <c r="J14" i="5" s="1"/>
  <c r="H15" i="5"/>
  <c r="H14" i="5" s="1"/>
  <c r="G15" i="5"/>
  <c r="G14" i="5" s="1"/>
  <c r="AA18" i="5"/>
  <c r="AC18" i="5"/>
  <c r="AD18" i="5" s="1"/>
  <c r="X15" i="5"/>
  <c r="X14" i="5" s="1"/>
  <c r="W15" i="5"/>
  <c r="W14" i="5" s="1"/>
  <c r="Y15" i="5"/>
  <c r="Y14" i="5" s="1"/>
  <c r="V17" i="5"/>
  <c r="AC30" i="5"/>
  <c r="AC19" i="5"/>
  <c r="AD19" i="5" s="1"/>
  <c r="AE19" i="5" s="1"/>
  <c r="AF19" i="5" s="1"/>
  <c r="AC25" i="5"/>
  <c r="I15" i="5"/>
  <c r="I14" i="5" s="1"/>
  <c r="V29" i="5"/>
  <c r="AA17" i="5"/>
  <c r="V24" i="5"/>
  <c r="AC31" i="5"/>
  <c r="AD31" i="5" s="1"/>
  <c r="AE31" i="5" s="1"/>
  <c r="AF31" i="5" s="1"/>
  <c r="O45" i="5"/>
  <c r="T17" i="5"/>
  <c r="T20" i="5"/>
  <c r="AA16" i="5"/>
  <c r="AA21" i="5"/>
  <c r="AA20" i="5" s="1"/>
  <c r="AA33" i="5"/>
  <c r="AE16" i="5"/>
  <c r="V20" i="5"/>
  <c r="AC17" i="5"/>
  <c r="V36" i="5"/>
  <c r="AA37" i="5"/>
  <c r="T9" i="5"/>
  <c r="W9" i="5"/>
  <c r="Y9" i="5"/>
  <c r="T10" i="5"/>
  <c r="W10" i="5"/>
  <c r="Y10" i="5"/>
  <c r="T11" i="5"/>
  <c r="W11" i="5"/>
  <c r="Y11" i="5"/>
  <c r="T12" i="5"/>
  <c r="W12" i="5"/>
  <c r="Y12" i="5"/>
  <c r="X9" i="5"/>
  <c r="X10" i="5"/>
  <c r="X11" i="5"/>
  <c r="X12" i="5"/>
  <c r="V9" i="5"/>
  <c r="V10" i="5"/>
  <c r="V11" i="5"/>
  <c r="AC11" i="5" s="1"/>
  <c r="V12" i="5"/>
  <c r="AC12" i="5" s="1"/>
  <c r="AF16" i="5"/>
  <c r="AC9" i="5"/>
  <c r="AC10" i="5"/>
  <c r="AD10" i="5" s="1"/>
  <c r="AD17" i="5"/>
  <c r="AE18" i="5"/>
  <c r="AE21" i="5"/>
  <c r="AA36" i="5"/>
  <c r="AC22" i="5"/>
  <c r="AC33" i="5"/>
  <c r="AD33" i="5" s="1"/>
  <c r="AE33" i="5" s="1"/>
  <c r="AF33" i="5" s="1"/>
  <c r="AC34" i="5"/>
  <c r="AD34" i="5" s="1"/>
  <c r="AE34" i="5" s="1"/>
  <c r="AF34" i="5" s="1"/>
  <c r="AC37" i="5"/>
  <c r="AC38" i="5"/>
  <c r="AD38" i="5" s="1"/>
  <c r="AE38" i="5" s="1"/>
  <c r="AF38" i="5" s="1"/>
  <c r="Y38" i="4"/>
  <c r="X38" i="4"/>
  <c r="W38" i="4"/>
  <c r="V38" i="4"/>
  <c r="AA38" i="4" s="1"/>
  <c r="T38" i="4"/>
  <c r="Y37" i="4"/>
  <c r="Y36" i="4" s="1"/>
  <c r="X37" i="4"/>
  <c r="X36" i="4" s="1"/>
  <c r="W37" i="4"/>
  <c r="W36" i="4" s="1"/>
  <c r="V37" i="4"/>
  <c r="T37" i="4"/>
  <c r="T36" i="4" s="1"/>
  <c r="R36" i="4"/>
  <c r="Q36" i="4"/>
  <c r="P36" i="4"/>
  <c r="O36" i="4"/>
  <c r="N36" i="4"/>
  <c r="M36" i="4"/>
  <c r="L36" i="4"/>
  <c r="K36" i="4"/>
  <c r="J36" i="4"/>
  <c r="I36" i="4"/>
  <c r="H36" i="4"/>
  <c r="G36" i="4"/>
  <c r="Y34" i="4"/>
  <c r="X34" i="4"/>
  <c r="W34" i="4"/>
  <c r="V34" i="4"/>
  <c r="AA34" i="4" s="1"/>
  <c r="T34" i="4"/>
  <c r="Y33" i="4"/>
  <c r="X33" i="4"/>
  <c r="W33" i="4"/>
  <c r="V33" i="4"/>
  <c r="AA33" i="4" s="1"/>
  <c r="T33" i="4"/>
  <c r="Y31" i="4"/>
  <c r="Y29" i="4" s="1"/>
  <c r="X31" i="4"/>
  <c r="W31" i="4"/>
  <c r="V31" i="4"/>
  <c r="T31" i="4"/>
  <c r="Y30" i="4"/>
  <c r="X30" i="4"/>
  <c r="W30" i="4"/>
  <c r="V30" i="4"/>
  <c r="T30" i="4"/>
  <c r="W29" i="4"/>
  <c r="V29" i="4"/>
  <c r="T29" i="4"/>
  <c r="R29" i="4"/>
  <c r="Q29" i="4"/>
  <c r="P29" i="4"/>
  <c r="O29" i="4"/>
  <c r="N29" i="4"/>
  <c r="M29" i="4"/>
  <c r="L29" i="4"/>
  <c r="K29" i="4"/>
  <c r="J29" i="4"/>
  <c r="I29" i="4"/>
  <c r="H29" i="4"/>
  <c r="G29" i="4"/>
  <c r="AC25" i="4"/>
  <c r="AD25" i="4" s="1"/>
  <c r="Y25" i="4"/>
  <c r="Y24" i="4" s="1"/>
  <c r="X25" i="4"/>
  <c r="W25" i="4"/>
  <c r="V25" i="4"/>
  <c r="T25" i="4"/>
  <c r="X24" i="4"/>
  <c r="W24" i="4"/>
  <c r="V24" i="4"/>
  <c r="T24" i="4"/>
  <c r="R24" i="4"/>
  <c r="Q24" i="4"/>
  <c r="P24" i="4"/>
  <c r="O24" i="4"/>
  <c r="N24" i="4"/>
  <c r="M24" i="4"/>
  <c r="L24" i="4"/>
  <c r="K24" i="4"/>
  <c r="J24" i="4"/>
  <c r="I24" i="4"/>
  <c r="H24" i="4"/>
  <c r="G24" i="4"/>
  <c r="Y22" i="4"/>
  <c r="X22" i="4"/>
  <c r="W22" i="4"/>
  <c r="V22" i="4"/>
  <c r="T22" i="4"/>
  <c r="Y21" i="4"/>
  <c r="Y20" i="4" s="1"/>
  <c r="X21" i="4"/>
  <c r="X20" i="4" s="1"/>
  <c r="W21" i="4"/>
  <c r="W20" i="4" s="1"/>
  <c r="V21" i="4"/>
  <c r="AA21" i="4" s="1"/>
  <c r="AA20" i="4" s="1"/>
  <c r="T21" i="4"/>
  <c r="R20" i="4"/>
  <c r="Q20" i="4"/>
  <c r="P20" i="4"/>
  <c r="O20" i="4"/>
  <c r="N20" i="4"/>
  <c r="M20" i="4"/>
  <c r="L20" i="4"/>
  <c r="K20" i="4"/>
  <c r="J20" i="4"/>
  <c r="J15" i="4" s="1"/>
  <c r="J14" i="4" s="1"/>
  <c r="I20" i="4"/>
  <c r="H20" i="4"/>
  <c r="G20" i="4"/>
  <c r="Y19" i="4"/>
  <c r="X19" i="4"/>
  <c r="W19" i="4"/>
  <c r="V19" i="4"/>
  <c r="AA19" i="4" s="1"/>
  <c r="T19" i="4"/>
  <c r="Y18" i="4"/>
  <c r="Y17" i="4" s="1"/>
  <c r="X18" i="4"/>
  <c r="W18" i="4"/>
  <c r="W17" i="4" s="1"/>
  <c r="V18" i="4"/>
  <c r="AC18" i="4" s="1"/>
  <c r="AD18" i="4" s="1"/>
  <c r="T18" i="4"/>
  <c r="X17" i="4"/>
  <c r="V17" i="4"/>
  <c r="R17" i="4"/>
  <c r="R15" i="4" s="1"/>
  <c r="R14" i="4" s="1"/>
  <c r="Q17" i="4"/>
  <c r="Q15" i="4" s="1"/>
  <c r="Q14" i="4" s="1"/>
  <c r="P17" i="4"/>
  <c r="P15" i="4" s="1"/>
  <c r="P14" i="4" s="1"/>
  <c r="O17" i="4"/>
  <c r="O15" i="4" s="1"/>
  <c r="O14" i="4" s="1"/>
  <c r="N17" i="4"/>
  <c r="N15" i="4" s="1"/>
  <c r="N14" i="4" s="1"/>
  <c r="M17" i="4"/>
  <c r="L17" i="4"/>
  <c r="L15" i="4" s="1"/>
  <c r="L14" i="4" s="1"/>
  <c r="K17" i="4"/>
  <c r="J17" i="4"/>
  <c r="I17" i="4"/>
  <c r="H17" i="4"/>
  <c r="G17" i="4"/>
  <c r="Y16" i="4"/>
  <c r="X16" i="4"/>
  <c r="W16" i="4"/>
  <c r="V16" i="4"/>
  <c r="AC16" i="4" s="1"/>
  <c r="AD16" i="4" s="1"/>
  <c r="T16" i="4"/>
  <c r="R12" i="4"/>
  <c r="Q12" i="4"/>
  <c r="P12" i="4"/>
  <c r="O12" i="4"/>
  <c r="N12" i="4"/>
  <c r="M12" i="4"/>
  <c r="L12" i="4"/>
  <c r="K12" i="4"/>
  <c r="J12" i="4"/>
  <c r="I12" i="4"/>
  <c r="H12" i="4"/>
  <c r="G12" i="4"/>
  <c r="R11" i="4"/>
  <c r="Q11" i="4"/>
  <c r="P11" i="4"/>
  <c r="O11" i="4"/>
  <c r="N11" i="4"/>
  <c r="M11" i="4"/>
  <c r="L11" i="4"/>
  <c r="K11" i="4"/>
  <c r="J11" i="4"/>
  <c r="I11" i="4"/>
  <c r="H11" i="4"/>
  <c r="G11" i="4"/>
  <c r="R10" i="4"/>
  <c r="Q10" i="4"/>
  <c r="P10" i="4"/>
  <c r="O10" i="4"/>
  <c r="N10" i="4"/>
  <c r="M10" i="4"/>
  <c r="L10" i="4"/>
  <c r="K10" i="4"/>
  <c r="J10" i="4"/>
  <c r="I10" i="4"/>
  <c r="H10" i="4"/>
  <c r="G10" i="4"/>
  <c r="R9" i="4"/>
  <c r="Q9" i="4"/>
  <c r="P9" i="4"/>
  <c r="O9" i="4"/>
  <c r="N9" i="4"/>
  <c r="M9" i="4"/>
  <c r="L9" i="4"/>
  <c r="K9" i="4"/>
  <c r="J9" i="4"/>
  <c r="I9" i="4"/>
  <c r="H9" i="4"/>
  <c r="G9" i="4"/>
  <c r="AA5" i="4"/>
  <c r="L1" i="4"/>
  <c r="AE10" i="5" l="1"/>
  <c r="AF10" i="5" s="1"/>
  <c r="AA10" i="5"/>
  <c r="AD9" i="5"/>
  <c r="AA25" i="4"/>
  <c r="AA24" i="4" s="1"/>
  <c r="M15" i="4"/>
  <c r="M14" i="4" s="1"/>
  <c r="K15" i="4"/>
  <c r="K14" i="4" s="1"/>
  <c r="I15" i="4"/>
  <c r="I14" i="4" s="1"/>
  <c r="H15" i="4"/>
  <c r="H14" i="4" s="1"/>
  <c r="X29" i="4"/>
  <c r="T15" i="5"/>
  <c r="T14" i="5" s="1"/>
  <c r="AA31" i="4"/>
  <c r="AA30" i="4"/>
  <c r="AC30" i="4"/>
  <c r="AD30" i="4" s="1"/>
  <c r="AA22" i="4"/>
  <c r="AC22" i="4"/>
  <c r="AD22" i="4" s="1"/>
  <c r="AE22" i="4" s="1"/>
  <c r="AF22" i="4" s="1"/>
  <c r="AE9" i="5"/>
  <c r="AF9" i="5" s="1"/>
  <c r="Y15" i="4"/>
  <c r="Y14" i="4" s="1"/>
  <c r="W15" i="4"/>
  <c r="W14" i="4" s="1"/>
  <c r="X15" i="4"/>
  <c r="X14" i="4" s="1"/>
  <c r="AA16" i="4"/>
  <c r="AA11" i="5"/>
  <c r="AA37" i="4"/>
  <c r="AA36" i="4" s="1"/>
  <c r="AE16" i="4"/>
  <c r="AF16" i="4" s="1"/>
  <c r="AC21" i="4"/>
  <c r="AC24" i="4"/>
  <c r="AC31" i="4"/>
  <c r="AD31" i="4" s="1"/>
  <c r="AE31" i="4" s="1"/>
  <c r="AF31" i="4" s="1"/>
  <c r="V36" i="4"/>
  <c r="AA15" i="5"/>
  <c r="AA14" i="5" s="1"/>
  <c r="V15" i="5"/>
  <c r="V14" i="5" s="1"/>
  <c r="T17" i="4"/>
  <c r="AD12" i="5"/>
  <c r="AE12" i="5" s="1"/>
  <c r="AF12" i="5" s="1"/>
  <c r="AD25" i="5"/>
  <c r="AC24" i="5"/>
  <c r="G15" i="4"/>
  <c r="G14" i="4" s="1"/>
  <c r="AD30" i="5"/>
  <c r="AC29" i="5"/>
  <c r="AC19" i="4"/>
  <c r="AD19" i="4" s="1"/>
  <c r="AE19" i="4" s="1"/>
  <c r="AF19" i="4" s="1"/>
  <c r="T20" i="4"/>
  <c r="V20" i="4"/>
  <c r="V15" i="4" s="1"/>
  <c r="V14" i="4" s="1"/>
  <c r="AA29" i="4"/>
  <c r="AA18" i="4"/>
  <c r="AA17" i="4" s="1"/>
  <c r="AA12" i="5"/>
  <c r="AA9" i="5"/>
  <c r="W9" i="4"/>
  <c r="Y9" i="4"/>
  <c r="W10" i="4"/>
  <c r="Y10" i="4"/>
  <c r="W11" i="4"/>
  <c r="Y11" i="4"/>
  <c r="W12" i="4"/>
  <c r="Y12" i="4"/>
  <c r="AD11" i="5"/>
  <c r="AE11" i="5" s="1"/>
  <c r="AF11" i="5" s="1"/>
  <c r="X9" i="4"/>
  <c r="X10" i="4"/>
  <c r="X11" i="4"/>
  <c r="X12" i="4"/>
  <c r="T10" i="4"/>
  <c r="T11" i="4"/>
  <c r="T12" i="4"/>
  <c r="T9" i="4"/>
  <c r="V9" i="4"/>
  <c r="AC9" i="4" s="1"/>
  <c r="V10" i="4"/>
  <c r="V11" i="4"/>
  <c r="AC11" i="4" s="1"/>
  <c r="V12" i="4"/>
  <c r="AC12" i="4" s="1"/>
  <c r="AD37" i="5"/>
  <c r="AC36" i="5"/>
  <c r="AD22" i="5"/>
  <c r="AC20" i="5"/>
  <c r="AC15" i="5" s="1"/>
  <c r="AC14" i="5" s="1"/>
  <c r="AF21" i="5"/>
  <c r="AF18" i="5"/>
  <c r="AF17" i="5" s="1"/>
  <c r="AE17" i="5"/>
  <c r="AD24" i="4"/>
  <c r="AE25" i="4"/>
  <c r="AE30" i="4"/>
  <c r="AE18" i="4"/>
  <c r="AC33" i="4"/>
  <c r="AD33" i="4" s="1"/>
  <c r="AE33" i="4" s="1"/>
  <c r="AF33" i="4" s="1"/>
  <c r="AC34" i="4"/>
  <c r="AD34" i="4" s="1"/>
  <c r="AE34" i="4" s="1"/>
  <c r="AF34" i="4" s="1"/>
  <c r="AC37" i="4"/>
  <c r="AC38" i="4"/>
  <c r="AD38" i="4" s="1"/>
  <c r="AE38" i="4" s="1"/>
  <c r="AF38" i="4" s="1"/>
  <c r="AA10" i="4" l="1"/>
  <c r="AA12" i="4"/>
  <c r="AA11" i="4"/>
  <c r="AD9" i="4"/>
  <c r="AE9" i="4" s="1"/>
  <c r="AF9" i="4" s="1"/>
  <c r="AC17" i="4"/>
  <c r="AC29" i="4"/>
  <c r="AE30" i="5"/>
  <c r="AD29" i="5"/>
  <c r="AD21" i="4"/>
  <c r="AC20" i="4"/>
  <c r="AC10" i="4"/>
  <c r="AD10" i="4" s="1"/>
  <c r="AE10" i="4" s="1"/>
  <c r="AF10" i="4" s="1"/>
  <c r="AD24" i="5"/>
  <c r="AE25" i="5"/>
  <c r="AD17" i="4"/>
  <c r="AA15" i="4"/>
  <c r="AA14" i="4" s="1"/>
  <c r="T15" i="4"/>
  <c r="T14" i="4" s="1"/>
  <c r="AD12" i="4"/>
  <c r="AE12" i="4" s="1"/>
  <c r="AF12" i="4" s="1"/>
  <c r="AA9" i="4"/>
  <c r="AD29" i="4"/>
  <c r="AD11" i="4"/>
  <c r="AE11" i="4" s="1"/>
  <c r="AF11" i="4" s="1"/>
  <c r="AE22" i="5"/>
  <c r="AD20" i="5"/>
  <c r="AD15" i="5" s="1"/>
  <c r="AD14" i="5" s="1"/>
  <c r="AD36" i="5"/>
  <c r="AE37" i="5"/>
  <c r="AF18" i="4"/>
  <c r="AF17" i="4" s="1"/>
  <c r="AE17" i="4"/>
  <c r="AD37" i="4"/>
  <c r="AC36" i="4"/>
  <c r="AF30" i="4"/>
  <c r="AF29" i="4" s="1"/>
  <c r="AE29" i="4"/>
  <c r="AF25" i="4"/>
  <c r="AF24" i="4" s="1"/>
  <c r="AE24" i="4"/>
  <c r="AC15" i="4" l="1"/>
  <c r="AC14" i="4" s="1"/>
  <c r="AD15" i="4"/>
  <c r="AD14" i="4" s="1"/>
  <c r="AE24" i="5"/>
  <c r="AF25" i="5"/>
  <c r="AF24" i="5" s="1"/>
  <c r="AE21" i="4"/>
  <c r="AD20" i="4"/>
  <c r="AE29" i="5"/>
  <c r="AF30" i="5"/>
  <c r="AF29" i="5" s="1"/>
  <c r="AF37" i="5"/>
  <c r="AF36" i="5" s="1"/>
  <c r="AE36" i="5"/>
  <c r="AF22" i="5"/>
  <c r="AF20" i="5" s="1"/>
  <c r="AF15" i="5" s="1"/>
  <c r="AE20" i="5"/>
  <c r="AE15" i="5" s="1"/>
  <c r="AD36" i="4"/>
  <c r="AE37" i="4"/>
  <c r="AF14" i="5" l="1"/>
  <c r="AE14" i="5"/>
  <c r="AF21" i="4"/>
  <c r="AF20" i="4" s="1"/>
  <c r="AF15" i="4" s="1"/>
  <c r="AF14" i="4" s="1"/>
  <c r="AE20" i="4"/>
  <c r="AE15" i="4" s="1"/>
  <c r="AE14" i="4" s="1"/>
  <c r="AF37" i="4"/>
  <c r="AF36" i="4" s="1"/>
  <c r="AE36" i="4"/>
  <c r="T21" i="3" l="1"/>
  <c r="P17" i="1" l="1"/>
  <c r="Q17" i="1" l="1"/>
  <c r="R17" i="1"/>
  <c r="T16" i="1" l="1"/>
  <c r="T31" i="1" l="1"/>
  <c r="R20" i="3" l="1"/>
  <c r="P36" i="1"/>
  <c r="Q36" i="1"/>
  <c r="R36" i="1"/>
  <c r="P29" i="1"/>
  <c r="Q29" i="1"/>
  <c r="R29" i="1"/>
  <c r="P24" i="1"/>
  <c r="Q24" i="1"/>
  <c r="R24" i="1"/>
  <c r="P20" i="1"/>
  <c r="P15" i="1" s="1"/>
  <c r="Q20" i="1"/>
  <c r="Q15" i="1" s="1"/>
  <c r="R20" i="1"/>
  <c r="R15" i="1" s="1"/>
  <c r="R12" i="1"/>
  <c r="Q12" i="1"/>
  <c r="P12" i="1"/>
  <c r="R11" i="1"/>
  <c r="Q11" i="1"/>
  <c r="P11" i="1"/>
  <c r="R10" i="1"/>
  <c r="Q10" i="1"/>
  <c r="P10" i="1"/>
  <c r="R9" i="1"/>
  <c r="Q9" i="1"/>
  <c r="P9" i="1"/>
  <c r="G20" i="1"/>
  <c r="H9" i="1"/>
  <c r="I9" i="1"/>
  <c r="J9" i="1"/>
  <c r="K9" i="1"/>
  <c r="L9" i="1"/>
  <c r="M9" i="1"/>
  <c r="N9" i="1"/>
  <c r="O9" i="1"/>
  <c r="H10" i="1"/>
  <c r="I10" i="1"/>
  <c r="J10" i="1"/>
  <c r="K10" i="1"/>
  <c r="L10" i="1"/>
  <c r="M10" i="1"/>
  <c r="N10" i="1"/>
  <c r="O10" i="1"/>
  <c r="H11" i="1"/>
  <c r="I11" i="1"/>
  <c r="J11" i="1"/>
  <c r="K11" i="1"/>
  <c r="L11" i="1"/>
  <c r="M11" i="1"/>
  <c r="N11" i="1"/>
  <c r="O11" i="1"/>
  <c r="H12" i="1"/>
  <c r="I12" i="1"/>
  <c r="J12" i="1"/>
  <c r="K12" i="1"/>
  <c r="L12" i="1"/>
  <c r="M12" i="1"/>
  <c r="N12" i="1"/>
  <c r="O12" i="1"/>
  <c r="G12" i="1"/>
  <c r="G11" i="1"/>
  <c r="G10" i="1"/>
  <c r="G9" i="1"/>
  <c r="P14" i="1" l="1"/>
  <c r="Q14" i="1"/>
  <c r="R14" i="1"/>
  <c r="T10" i="1"/>
  <c r="T11" i="1"/>
  <c r="T9" i="1"/>
  <c r="T12" i="1"/>
  <c r="T13" i="3" l="1"/>
  <c r="O35" i="3"/>
  <c r="P35" i="3"/>
  <c r="Q35" i="3"/>
  <c r="R35" i="3"/>
  <c r="P20" i="3"/>
  <c r="Q20" i="3"/>
  <c r="R12" i="3"/>
  <c r="Q12" i="3"/>
  <c r="P12" i="3"/>
  <c r="O12" i="3"/>
  <c r="O20" i="3"/>
  <c r="H35" i="3"/>
  <c r="I35" i="3"/>
  <c r="J35" i="3"/>
  <c r="K35" i="3"/>
  <c r="L35" i="3"/>
  <c r="M35" i="3"/>
  <c r="N35" i="3"/>
  <c r="G35" i="3"/>
  <c r="H20" i="3"/>
  <c r="I20" i="3"/>
  <c r="J20" i="3"/>
  <c r="K20" i="3"/>
  <c r="L20" i="3"/>
  <c r="M20" i="3"/>
  <c r="N20" i="3"/>
  <c r="G20" i="3"/>
  <c r="H12" i="3"/>
  <c r="I12" i="3"/>
  <c r="J12" i="3"/>
  <c r="K12" i="3"/>
  <c r="L12" i="3"/>
  <c r="M12" i="3"/>
  <c r="N12" i="3"/>
  <c r="G12" i="3"/>
  <c r="T49" i="3"/>
  <c r="T47" i="3"/>
  <c r="T45" i="3"/>
  <c r="T43" i="3"/>
  <c r="T41" i="3"/>
  <c r="T40" i="3"/>
  <c r="T39" i="3"/>
  <c r="T38" i="3"/>
  <c r="T37" i="3"/>
  <c r="T36" i="3"/>
  <c r="T33" i="3"/>
  <c r="T32" i="3"/>
  <c r="T31" i="3"/>
  <c r="T30" i="3"/>
  <c r="T29" i="3"/>
  <c r="T28" i="3"/>
  <c r="T27" i="3"/>
  <c r="T26" i="3"/>
  <c r="T25" i="3"/>
  <c r="T24" i="3"/>
  <c r="T23" i="3"/>
  <c r="T22" i="3"/>
  <c r="T18" i="3"/>
  <c r="T17" i="3"/>
  <c r="T16" i="3"/>
  <c r="T15" i="3"/>
  <c r="T14" i="3"/>
  <c r="L10" i="3" l="1"/>
  <c r="I10" i="3"/>
  <c r="I8" i="5" s="1"/>
  <c r="I7" i="5" s="1"/>
  <c r="I27" i="5" s="1"/>
  <c r="K10" i="3"/>
  <c r="K8" i="5" s="1"/>
  <c r="K7" i="5" s="1"/>
  <c r="K27" i="5" s="1"/>
  <c r="J10" i="3"/>
  <c r="J8" i="1" s="1"/>
  <c r="H10" i="3"/>
  <c r="H8" i="6" s="1"/>
  <c r="N10" i="3"/>
  <c r="N8" i="6" s="1"/>
  <c r="N7" i="6" s="1"/>
  <c r="N27" i="6" s="1"/>
  <c r="I8" i="6"/>
  <c r="I7" i="6" s="1"/>
  <c r="I27" i="6" s="1"/>
  <c r="L8" i="6"/>
  <c r="L7" i="6" s="1"/>
  <c r="L27" i="6" s="1"/>
  <c r="L8" i="5"/>
  <c r="L7" i="5" s="1"/>
  <c r="L27" i="5" s="1"/>
  <c r="L8" i="4"/>
  <c r="L7" i="4" s="1"/>
  <c r="L27" i="4" s="1"/>
  <c r="J8" i="4"/>
  <c r="H8" i="4"/>
  <c r="T20" i="3"/>
  <c r="M10" i="3"/>
  <c r="M8" i="3" s="1"/>
  <c r="L8" i="3"/>
  <c r="L8" i="1"/>
  <c r="K8" i="3"/>
  <c r="K8" i="1"/>
  <c r="N8" i="1"/>
  <c r="J8" i="3"/>
  <c r="T12" i="3"/>
  <c r="O10" i="3"/>
  <c r="P10" i="3"/>
  <c r="Q10" i="3"/>
  <c r="R10" i="3"/>
  <c r="G10" i="3"/>
  <c r="T35" i="3"/>
  <c r="H8" i="1" l="1"/>
  <c r="K8" i="4"/>
  <c r="K7" i="4" s="1"/>
  <c r="K27" i="4" s="1"/>
  <c r="K8" i="6"/>
  <c r="K7" i="6" s="1"/>
  <c r="K27" i="6" s="1"/>
  <c r="H8" i="3"/>
  <c r="I8" i="1"/>
  <c r="I8" i="4"/>
  <c r="I7" i="4" s="1"/>
  <c r="I27" i="4" s="1"/>
  <c r="J8" i="5"/>
  <c r="J8" i="6"/>
  <c r="I8" i="3"/>
  <c r="H8" i="5"/>
  <c r="H7" i="5" s="1"/>
  <c r="H27" i="5" s="1"/>
  <c r="N8" i="3"/>
  <c r="N8" i="4"/>
  <c r="N7" i="4" s="1"/>
  <c r="N27" i="4" s="1"/>
  <c r="N41" i="4" s="1"/>
  <c r="N8" i="5"/>
  <c r="N7" i="5" s="1"/>
  <c r="N27" i="5" s="1"/>
  <c r="M8" i="1"/>
  <c r="R8" i="6"/>
  <c r="R7" i="6" s="1"/>
  <c r="R27" i="6" s="1"/>
  <c r="R8" i="5"/>
  <c r="R7" i="5" s="1"/>
  <c r="R27" i="5" s="1"/>
  <c r="R8" i="4"/>
  <c r="R7" i="4" s="1"/>
  <c r="R27" i="4" s="1"/>
  <c r="P8" i="6"/>
  <c r="P8" i="5"/>
  <c r="P8" i="4"/>
  <c r="W8" i="5"/>
  <c r="W7" i="5" s="1"/>
  <c r="W27" i="5" s="1"/>
  <c r="J7" i="5"/>
  <c r="J27" i="5" s="1"/>
  <c r="L41" i="4"/>
  <c r="L40" i="4"/>
  <c r="L29" i="6"/>
  <c r="N40" i="5"/>
  <c r="N41" i="5"/>
  <c r="K41" i="4"/>
  <c r="K40" i="4"/>
  <c r="K29" i="6"/>
  <c r="I40" i="5"/>
  <c r="I41" i="5"/>
  <c r="G8" i="6"/>
  <c r="G8" i="5"/>
  <c r="G7" i="5" s="1"/>
  <c r="G27" i="5" s="1"/>
  <c r="G8" i="4"/>
  <c r="G7" i="4" s="1"/>
  <c r="G27" i="4" s="1"/>
  <c r="Q8" i="6"/>
  <c r="Q7" i="6" s="1"/>
  <c r="Q27" i="6" s="1"/>
  <c r="Q8" i="5"/>
  <c r="Q7" i="5" s="1"/>
  <c r="Q27" i="5" s="1"/>
  <c r="Q8" i="4"/>
  <c r="Q7" i="4" s="1"/>
  <c r="Q27" i="4" s="1"/>
  <c r="O8" i="6"/>
  <c r="O7" i="6" s="1"/>
  <c r="O27" i="6" s="1"/>
  <c r="O8" i="5"/>
  <c r="O7" i="5" s="1"/>
  <c r="O27" i="5" s="1"/>
  <c r="O8" i="4"/>
  <c r="O7" i="4" s="1"/>
  <c r="O27" i="4" s="1"/>
  <c r="M8" i="6"/>
  <c r="M8" i="5"/>
  <c r="M8" i="4"/>
  <c r="W8" i="4"/>
  <c r="W7" i="4" s="1"/>
  <c r="W27" i="4" s="1"/>
  <c r="J7" i="4"/>
  <c r="J27" i="4" s="1"/>
  <c r="J7" i="6"/>
  <c r="J27" i="6" s="1"/>
  <c r="L40" i="5"/>
  <c r="L41" i="5"/>
  <c r="N29" i="6"/>
  <c r="K40" i="5"/>
  <c r="K41" i="5"/>
  <c r="I41" i="4"/>
  <c r="I40" i="4"/>
  <c r="I29" i="6"/>
  <c r="H7" i="4"/>
  <c r="H27" i="4" s="1"/>
  <c r="H7" i="6"/>
  <c r="H27" i="6" s="1"/>
  <c r="P8" i="1"/>
  <c r="P7" i="1" s="1"/>
  <c r="P27" i="1" s="1"/>
  <c r="P40" i="1" s="1"/>
  <c r="T10" i="3"/>
  <c r="G8" i="1"/>
  <c r="G7" i="1" s="1"/>
  <c r="Q8" i="3"/>
  <c r="Q8" i="1"/>
  <c r="Q7" i="1" s="1"/>
  <c r="Q27" i="1" s="1"/>
  <c r="O8" i="3"/>
  <c r="O8" i="1"/>
  <c r="R8" i="3"/>
  <c r="R8" i="1"/>
  <c r="P8" i="3"/>
  <c r="G8" i="3"/>
  <c r="T18" i="1"/>
  <c r="N40" i="4" l="1"/>
  <c r="V8" i="4"/>
  <c r="T8" i="4"/>
  <c r="T7" i="4" s="1"/>
  <c r="T27" i="4" s="1"/>
  <c r="T41" i="4" s="1"/>
  <c r="V8" i="5"/>
  <c r="AC8" i="5" s="1"/>
  <c r="T8" i="5"/>
  <c r="T7" i="5" s="1"/>
  <c r="T27" i="5" s="1"/>
  <c r="T40" i="5" s="1"/>
  <c r="T8" i="6"/>
  <c r="T7" i="6" s="1"/>
  <c r="T27" i="6" s="1"/>
  <c r="J29" i="6"/>
  <c r="J41" i="4"/>
  <c r="J40" i="4"/>
  <c r="X8" i="4"/>
  <c r="X7" i="4" s="1"/>
  <c r="X27" i="4" s="1"/>
  <c r="M7" i="4"/>
  <c r="M27" i="4" s="1"/>
  <c r="M7" i="6"/>
  <c r="M27" i="6" s="1"/>
  <c r="O40" i="5"/>
  <c r="O41" i="5"/>
  <c r="Q41" i="4"/>
  <c r="Q40" i="4"/>
  <c r="Q29" i="6"/>
  <c r="G40" i="5"/>
  <c r="G41" i="5"/>
  <c r="J40" i="5"/>
  <c r="J41" i="5"/>
  <c r="Y8" i="4"/>
  <c r="Y7" i="4" s="1"/>
  <c r="Y27" i="4" s="1"/>
  <c r="P7" i="4"/>
  <c r="P27" i="4" s="1"/>
  <c r="P7" i="6"/>
  <c r="P27" i="6" s="1"/>
  <c r="R40" i="5"/>
  <c r="R41" i="5"/>
  <c r="W40" i="4"/>
  <c r="W41" i="4"/>
  <c r="X8" i="5"/>
  <c r="X7" i="5" s="1"/>
  <c r="X27" i="5" s="1"/>
  <c r="M7" i="5"/>
  <c r="M27" i="5" s="1"/>
  <c r="O41" i="4"/>
  <c r="O40" i="4"/>
  <c r="O29" i="6"/>
  <c r="Q40" i="5"/>
  <c r="Q41" i="5"/>
  <c r="G41" i="4"/>
  <c r="G40" i="4"/>
  <c r="G5" i="8"/>
  <c r="K5" i="8" s="1"/>
  <c r="G7" i="6"/>
  <c r="G27" i="6" s="1"/>
  <c r="W40" i="5"/>
  <c r="W41" i="5"/>
  <c r="Y8" i="5"/>
  <c r="Y7" i="5" s="1"/>
  <c r="Y27" i="5" s="1"/>
  <c r="P7" i="5"/>
  <c r="P27" i="5" s="1"/>
  <c r="R41" i="4"/>
  <c r="R40" i="4"/>
  <c r="R29" i="6"/>
  <c r="H29" i="6"/>
  <c r="V7" i="4"/>
  <c r="V27" i="4" s="1"/>
  <c r="AC8" i="4"/>
  <c r="H41" i="4"/>
  <c r="H40" i="4"/>
  <c r="H41" i="5"/>
  <c r="H40" i="5"/>
  <c r="T8" i="3"/>
  <c r="P41" i="1"/>
  <c r="Q41" i="1"/>
  <c r="Q40" i="1"/>
  <c r="T8" i="1"/>
  <c r="T7" i="1" s="1"/>
  <c r="R7" i="1"/>
  <c r="R27" i="1" s="1"/>
  <c r="R40" i="1" s="1"/>
  <c r="W21" i="1"/>
  <c r="V7" i="5" l="1"/>
  <c r="V27" i="5" s="1"/>
  <c r="T41" i="5"/>
  <c r="T40" i="4"/>
  <c r="T29" i="6"/>
  <c r="AA8" i="4"/>
  <c r="AA7" i="4" s="1"/>
  <c r="AA27" i="4" s="1"/>
  <c r="AA41" i="4" s="1"/>
  <c r="AA8" i="5"/>
  <c r="AA7" i="5" s="1"/>
  <c r="AA27" i="5" s="1"/>
  <c r="AA41" i="5" s="1"/>
  <c r="P40" i="5"/>
  <c r="P41" i="5"/>
  <c r="G4" i="8"/>
  <c r="K4" i="8" s="1"/>
  <c r="M40" i="5"/>
  <c r="M41" i="5"/>
  <c r="P29" i="6"/>
  <c r="P41" i="4"/>
  <c r="P40" i="4"/>
  <c r="M29" i="6"/>
  <c r="M41" i="4"/>
  <c r="M40" i="4"/>
  <c r="Y41" i="5"/>
  <c r="Y40" i="5"/>
  <c r="X40" i="5"/>
  <c r="X41" i="5"/>
  <c r="Y41" i="4"/>
  <c r="Y40" i="4"/>
  <c r="X41" i="4"/>
  <c r="X40" i="4"/>
  <c r="V41" i="5"/>
  <c r="V40" i="5"/>
  <c r="AC7" i="5"/>
  <c r="AC27" i="5" s="1"/>
  <c r="AD8" i="5"/>
  <c r="AD8" i="4"/>
  <c r="AC7" i="4"/>
  <c r="AC27" i="4" s="1"/>
  <c r="V41" i="4"/>
  <c r="V40" i="4"/>
  <c r="R41" i="1"/>
  <c r="AA40" i="4" l="1"/>
  <c r="AA40" i="5"/>
  <c r="G29" i="6"/>
  <c r="G38" i="8" s="1"/>
  <c r="K38" i="8" s="1"/>
  <c r="G37" i="8"/>
  <c r="K37" i="8" s="1"/>
  <c r="G24" i="8"/>
  <c r="K24" i="8" s="1"/>
  <c r="AC40" i="4"/>
  <c r="AC41" i="4"/>
  <c r="AE8" i="5"/>
  <c r="AD7" i="5"/>
  <c r="AD27" i="5" s="1"/>
  <c r="AD7" i="4"/>
  <c r="AD27" i="4" s="1"/>
  <c r="AE8" i="4"/>
  <c r="AC41" i="5"/>
  <c r="AC40" i="5"/>
  <c r="K36" i="1"/>
  <c r="L36" i="1"/>
  <c r="M36" i="1"/>
  <c r="N36" i="1"/>
  <c r="O36" i="1"/>
  <c r="AD40" i="4" l="1"/>
  <c r="AD41" i="4"/>
  <c r="AF8" i="5"/>
  <c r="AF7" i="5" s="1"/>
  <c r="AF27" i="5" s="1"/>
  <c r="AE7" i="5"/>
  <c r="AE27" i="5" s="1"/>
  <c r="AE7" i="4"/>
  <c r="AE27" i="4" s="1"/>
  <c r="AF8" i="4"/>
  <c r="AF7" i="4" s="1"/>
  <c r="AF27" i="4" s="1"/>
  <c r="AD40" i="5"/>
  <c r="AD41" i="5"/>
  <c r="H17" i="1"/>
  <c r="I17" i="1"/>
  <c r="J17" i="1"/>
  <c r="K17" i="1"/>
  <c r="L17" i="1"/>
  <c r="M17" i="1"/>
  <c r="N17" i="1"/>
  <c r="O17" i="1"/>
  <c r="H20" i="1"/>
  <c r="I20" i="1"/>
  <c r="J20" i="1"/>
  <c r="K20" i="1"/>
  <c r="L20" i="1"/>
  <c r="M20" i="1"/>
  <c r="N20" i="1"/>
  <c r="O20" i="1"/>
  <c r="AF41" i="4" l="1"/>
  <c r="AF40" i="4"/>
  <c r="AE41" i="5"/>
  <c r="AE40" i="5"/>
  <c r="AE41" i="4"/>
  <c r="AE40" i="4"/>
  <c r="AF41" i="5"/>
  <c r="AF40" i="5"/>
  <c r="O15" i="1"/>
  <c r="T30" i="1"/>
  <c r="T34" i="1"/>
  <c r="G17" i="1" l="1"/>
  <c r="T17" i="1" s="1"/>
  <c r="H15" i="1"/>
  <c r="J15" i="1"/>
  <c r="J24" i="1"/>
  <c r="K24" i="1"/>
  <c r="L24" i="1"/>
  <c r="M24" i="1"/>
  <c r="N24" i="1"/>
  <c r="O24" i="1"/>
  <c r="O14" i="1" s="1"/>
  <c r="H24" i="1"/>
  <c r="I24" i="1"/>
  <c r="H29" i="1"/>
  <c r="I29" i="1"/>
  <c r="J29" i="1"/>
  <c r="K29" i="1"/>
  <c r="L29" i="1"/>
  <c r="M29" i="1"/>
  <c r="N29" i="1"/>
  <c r="O29" i="1"/>
  <c r="H36" i="1"/>
  <c r="I36" i="1"/>
  <c r="J36" i="1"/>
  <c r="G24" i="1"/>
  <c r="G29" i="1"/>
  <c r="G36" i="1"/>
  <c r="V9" i="1" l="1"/>
  <c r="W9" i="1"/>
  <c r="G15" i="1"/>
  <c r="I15" i="1"/>
  <c r="I14" i="1" s="1"/>
  <c r="J14" i="1"/>
  <c r="M15" i="1"/>
  <c r="M14" i="1" s="1"/>
  <c r="K15" i="1"/>
  <c r="K14" i="1" s="1"/>
  <c r="N15" i="1"/>
  <c r="N14" i="1" s="1"/>
  <c r="L15" i="1"/>
  <c r="L14" i="1" s="1"/>
  <c r="H14" i="1"/>
  <c r="G14" i="1" l="1"/>
  <c r="AA5" i="1"/>
  <c r="V16" i="1" l="1"/>
  <c r="V38" i="1" l="1"/>
  <c r="W38" i="1"/>
  <c r="X38" i="1"/>
  <c r="Y38" i="1"/>
  <c r="V37" i="1"/>
  <c r="AA38" i="1" l="1"/>
  <c r="V36" i="1"/>
  <c r="T38" i="1" l="1"/>
  <c r="V34" i="1" l="1"/>
  <c r="AC34" i="1" s="1"/>
  <c r="W34" i="1"/>
  <c r="X34" i="1"/>
  <c r="Y34" i="1"/>
  <c r="T33" i="1"/>
  <c r="AD34" i="1" l="1"/>
  <c r="AE34" i="1" s="1"/>
  <c r="AF34" i="1" s="1"/>
  <c r="AA34" i="1"/>
  <c r="T25" i="1" l="1"/>
  <c r="T37" i="1" l="1"/>
  <c r="T36" i="1" l="1"/>
  <c r="T29" i="1"/>
  <c r="AC38" i="1" l="1"/>
  <c r="AD38" i="1" s="1"/>
  <c r="AE38" i="1" s="1"/>
  <c r="Y37" i="1"/>
  <c r="Y36" i="1" s="1"/>
  <c r="X37" i="1"/>
  <c r="X36" i="1" s="1"/>
  <c r="W37" i="1"/>
  <c r="W36" i="1" s="1"/>
  <c r="Y33" i="1"/>
  <c r="X33" i="1"/>
  <c r="W33" i="1"/>
  <c r="V33" i="1"/>
  <c r="Y31" i="1"/>
  <c r="X31" i="1"/>
  <c r="W31" i="1"/>
  <c r="V31" i="1"/>
  <c r="AC31" i="1" s="1"/>
  <c r="Y30" i="1"/>
  <c r="X30" i="1"/>
  <c r="W30" i="1"/>
  <c r="V30" i="1"/>
  <c r="AC30" i="1" s="1"/>
  <c r="Y25" i="1"/>
  <c r="Y24" i="1" s="1"/>
  <c r="X25" i="1"/>
  <c r="X24" i="1" s="1"/>
  <c r="W25" i="1"/>
  <c r="W24" i="1" s="1"/>
  <c r="V25" i="1"/>
  <c r="V24" i="1" s="1"/>
  <c r="Y29" i="1" l="1"/>
  <c r="X29" i="1"/>
  <c r="W29" i="1"/>
  <c r="H7" i="1"/>
  <c r="J7" i="1"/>
  <c r="J27" i="1" s="1"/>
  <c r="J40" i="1" s="1"/>
  <c r="L7" i="1"/>
  <c r="L27" i="1" s="1"/>
  <c r="L40" i="1" s="1"/>
  <c r="I7" i="1"/>
  <c r="I27" i="1" s="1"/>
  <c r="I40" i="1" s="1"/>
  <c r="M7" i="1"/>
  <c r="X9" i="1"/>
  <c r="AA33" i="1"/>
  <c r="X11" i="1"/>
  <c r="X10" i="1"/>
  <c r="X12" i="1"/>
  <c r="AC33" i="1"/>
  <c r="AD33" i="1" s="1"/>
  <c r="AE33" i="1" s="1"/>
  <c r="AF33" i="1" s="1"/>
  <c r="AA31" i="1"/>
  <c r="AD31" i="1"/>
  <c r="AE31" i="1" s="1"/>
  <c r="AF31" i="1" s="1"/>
  <c r="AF38" i="1"/>
  <c r="AA30" i="1"/>
  <c r="AA37" i="1"/>
  <c r="AA25" i="1"/>
  <c r="AA24" i="1" s="1"/>
  <c r="Y9" i="1"/>
  <c r="Y10" i="1"/>
  <c r="Y11" i="1"/>
  <c r="W10" i="1"/>
  <c r="W11" i="1"/>
  <c r="W12" i="1"/>
  <c r="Y12" i="1"/>
  <c r="V10" i="1"/>
  <c r="V11" i="1"/>
  <c r="V12" i="1"/>
  <c r="AD30" i="1"/>
  <c r="AC29" i="1"/>
  <c r="AC25" i="1"/>
  <c r="AC37" i="1"/>
  <c r="V29" i="1"/>
  <c r="H27" i="1" l="1"/>
  <c r="H40" i="1" s="1"/>
  <c r="AA9" i="1"/>
  <c r="M27" i="1"/>
  <c r="M41" i="1" s="1"/>
  <c r="O7" i="1"/>
  <c r="O27" i="1" s="1"/>
  <c r="N7" i="1"/>
  <c r="N27" i="1" s="1"/>
  <c r="N40" i="1" s="1"/>
  <c r="K7" i="1"/>
  <c r="K27" i="1" s="1"/>
  <c r="K40" i="1" s="1"/>
  <c r="AA29" i="1"/>
  <c r="AA36" i="1"/>
  <c r="T24" i="1"/>
  <c r="AC11" i="1"/>
  <c r="AD11" i="1" s="1"/>
  <c r="AE11" i="1" s="1"/>
  <c r="AF11" i="1" s="1"/>
  <c r="AA11" i="1"/>
  <c r="AC9" i="1"/>
  <c r="AD9" i="1" s="1"/>
  <c r="AE9" i="1" s="1"/>
  <c r="AF9" i="1" s="1"/>
  <c r="AC12" i="1"/>
  <c r="AD12" i="1" s="1"/>
  <c r="AE12" i="1" s="1"/>
  <c r="AF12" i="1" s="1"/>
  <c r="AA12" i="1"/>
  <c r="AC10" i="1"/>
  <c r="AD10" i="1" s="1"/>
  <c r="AE10" i="1" s="1"/>
  <c r="AF10" i="1" s="1"/>
  <c r="AA10" i="1"/>
  <c r="AD25" i="1"/>
  <c r="AC24" i="1"/>
  <c r="AD37" i="1"/>
  <c r="AC36" i="1"/>
  <c r="AE30" i="1"/>
  <c r="AD29" i="1"/>
  <c r="O40" i="1" l="1"/>
  <c r="M40" i="1"/>
  <c r="V8" i="1"/>
  <c r="V7" i="1" s="1"/>
  <c r="G27" i="1"/>
  <c r="W8" i="1"/>
  <c r="W7" i="1" s="1"/>
  <c r="Y8" i="1"/>
  <c r="Y7" i="1" s="1"/>
  <c r="X8" i="1"/>
  <c r="X7" i="1" s="1"/>
  <c r="AF30" i="1"/>
  <c r="AF29" i="1" s="1"/>
  <c r="AE29" i="1"/>
  <c r="AE37" i="1"/>
  <c r="AD36" i="1"/>
  <c r="AE25" i="1"/>
  <c r="AD24" i="1"/>
  <c r="G40" i="1" l="1"/>
  <c r="AC8" i="1"/>
  <c r="AC7" i="1" s="1"/>
  <c r="AA8" i="1"/>
  <c r="AA7" i="1" s="1"/>
  <c r="AF25" i="1"/>
  <c r="AF24" i="1" s="1"/>
  <c r="AE24" i="1"/>
  <c r="AF37" i="1"/>
  <c r="AF36" i="1" s="1"/>
  <c r="AE36" i="1"/>
  <c r="AD8" i="1" l="1"/>
  <c r="AD7" i="1" s="1"/>
  <c r="AE8" i="1" l="1"/>
  <c r="AE7" i="1" s="1"/>
  <c r="AF8" i="1" l="1"/>
  <c r="AF7" i="1" s="1"/>
  <c r="X19" i="1"/>
  <c r="W19" i="1"/>
  <c r="W22" i="1"/>
  <c r="W20" i="1" s="1"/>
  <c r="X21" i="1"/>
  <c r="X22" i="1"/>
  <c r="Y19" i="1"/>
  <c r="Y21" i="1"/>
  <c r="Y22" i="1"/>
  <c r="T22" i="1"/>
  <c r="T19" i="1"/>
  <c r="T21" i="1"/>
  <c r="V19" i="1"/>
  <c r="V22" i="1"/>
  <c r="AC22" i="1" s="1"/>
  <c r="T20" i="1"/>
  <c r="V21" i="1"/>
  <c r="X16" i="1"/>
  <c r="Y16" i="1"/>
  <c r="W16" i="1"/>
  <c r="AC16" i="1"/>
  <c r="T15" i="1" l="1"/>
  <c r="T14" i="1" s="1"/>
  <c r="AA21" i="1"/>
  <c r="AD22" i="1"/>
  <c r="AE22" i="1" s="1"/>
  <c r="AF22" i="1" s="1"/>
  <c r="Y20" i="1"/>
  <c r="X20" i="1"/>
  <c r="AA19" i="1"/>
  <c r="AC19" i="1"/>
  <c r="AD19" i="1" s="1"/>
  <c r="AE19" i="1" s="1"/>
  <c r="AF19" i="1" s="1"/>
  <c r="AA22" i="1"/>
  <c r="V20" i="1"/>
  <c r="AD16" i="1"/>
  <c r="AA16" i="1"/>
  <c r="AC21" i="1"/>
  <c r="AA20" i="1" l="1"/>
  <c r="AE16" i="1"/>
  <c r="AC20" i="1"/>
  <c r="AD21" i="1"/>
  <c r="AE21" i="1" l="1"/>
  <c r="AD20" i="1"/>
  <c r="AF16" i="1"/>
  <c r="AE20" i="1" l="1"/>
  <c r="AF21" i="1"/>
  <c r="AF20" i="1" s="1"/>
  <c r="W18" i="1"/>
  <c r="W17" i="1" s="1"/>
  <c r="W15" i="1" s="1"/>
  <c r="Y18" i="1"/>
  <c r="Y17" i="1" s="1"/>
  <c r="Y15" i="1" s="1"/>
  <c r="X18" i="1"/>
  <c r="X17" i="1" s="1"/>
  <c r="X15" i="1" s="1"/>
  <c r="V18" i="1"/>
  <c r="Y14" i="1" l="1"/>
  <c r="Y27" i="1" s="1"/>
  <c r="X14" i="1"/>
  <c r="X27" i="1" s="1"/>
  <c r="X40" i="1" s="1"/>
  <c r="W14" i="1"/>
  <c r="W27" i="1" s="1"/>
  <c r="K41" i="1"/>
  <c r="G41" i="1"/>
  <c r="AA18" i="1"/>
  <c r="H41" i="1"/>
  <c r="N41" i="1"/>
  <c r="J41" i="1"/>
  <c r="L41" i="1"/>
  <c r="I41" i="1"/>
  <c r="O41" i="1"/>
  <c r="V17" i="1"/>
  <c r="AC18" i="1"/>
  <c r="X41" i="1" l="1"/>
  <c r="Y40" i="1"/>
  <c r="Y41" i="1"/>
  <c r="V15" i="1"/>
  <c r="V14" i="1" s="1"/>
  <c r="V27" i="1" s="1"/>
  <c r="AA17" i="1"/>
  <c r="AA15" i="1" s="1"/>
  <c r="AA14" i="1" s="1"/>
  <c r="AA27" i="1" s="1"/>
  <c r="W40" i="1"/>
  <c r="W41" i="1"/>
  <c r="AC17" i="1"/>
  <c r="AC15" i="1" s="1"/>
  <c r="AC14" i="1" s="1"/>
  <c r="AC27" i="1" s="1"/>
  <c r="AC40" i="1" s="1"/>
  <c r="AD18" i="1"/>
  <c r="AA40" i="1" l="1"/>
  <c r="AA41" i="1"/>
  <c r="V40" i="1"/>
  <c r="V41" i="1"/>
  <c r="AD17" i="1"/>
  <c r="AD15" i="1" s="1"/>
  <c r="AD14" i="1" s="1"/>
  <c r="AD27" i="1" s="1"/>
  <c r="AD40" i="1" s="1"/>
  <c r="AE18" i="1"/>
  <c r="AC41" i="1"/>
  <c r="AE17" i="1" l="1"/>
  <c r="AE15" i="1" s="1"/>
  <c r="AE14" i="1" s="1"/>
  <c r="AE27" i="1" s="1"/>
  <c r="AE40" i="1" s="1"/>
  <c r="AF18" i="1"/>
  <c r="AF17" i="1" s="1"/>
  <c r="AF15" i="1" s="1"/>
  <c r="AF14" i="1" s="1"/>
  <c r="AF27" i="1" s="1"/>
  <c r="AF40" i="1" s="1"/>
  <c r="T27" i="1"/>
  <c r="AD41" i="1"/>
  <c r="T40" i="1" l="1"/>
  <c r="T41" i="1"/>
  <c r="AF41" i="1"/>
  <c r="AE41" i="1"/>
</calcChain>
</file>

<file path=xl/sharedStrings.xml><?xml version="1.0" encoding="utf-8"?>
<sst xmlns="http://schemas.openxmlformats.org/spreadsheetml/2006/main" count="287" uniqueCount="93">
  <si>
    <t>(in millions of dollars)</t>
  </si>
  <si>
    <t>Apr</t>
  </si>
  <si>
    <t>May</t>
  </si>
  <si>
    <t>Jun</t>
  </si>
  <si>
    <t>Jul</t>
  </si>
  <si>
    <t>Aug</t>
  </si>
  <si>
    <t>Oct</t>
  </si>
  <si>
    <t>Nov</t>
  </si>
  <si>
    <t>Dec</t>
  </si>
  <si>
    <t>Jan</t>
  </si>
  <si>
    <t>Feb</t>
  </si>
  <si>
    <t>Mar</t>
  </si>
  <si>
    <t>Revenue</t>
  </si>
  <si>
    <t>Tax Revenue</t>
  </si>
  <si>
    <t>Non-Tax Revenue</t>
  </si>
  <si>
    <t>Bauxite Levy</t>
  </si>
  <si>
    <t>Capital Revenue</t>
  </si>
  <si>
    <t>Grants</t>
  </si>
  <si>
    <t>Expenditure</t>
  </si>
  <si>
    <t>Recurrent Expenditure</t>
  </si>
  <si>
    <t>Programmes</t>
  </si>
  <si>
    <t>Compensatiom of Employees</t>
  </si>
  <si>
    <t>Wages &amp; Salaries</t>
  </si>
  <si>
    <t>Employers Contribution</t>
  </si>
  <si>
    <t>Interest</t>
  </si>
  <si>
    <t>Domestic</t>
  </si>
  <si>
    <t>External</t>
  </si>
  <si>
    <t>Capital Expenditure</t>
  </si>
  <si>
    <t>Capital Programmes</t>
  </si>
  <si>
    <t>Fiscal Balance (Surp+/Def-)</t>
  </si>
  <si>
    <t xml:space="preserve">Primary Balance </t>
  </si>
  <si>
    <t>Amortization</t>
  </si>
  <si>
    <t xml:space="preserve">       Domestic</t>
  </si>
  <si>
    <t xml:space="preserve">       External</t>
  </si>
  <si>
    <t>Loan Financing</t>
  </si>
  <si>
    <t>Item</t>
  </si>
  <si>
    <t>June</t>
  </si>
  <si>
    <t>July</t>
  </si>
  <si>
    <t>Revenue &amp; Grants</t>
  </si>
  <si>
    <t xml:space="preserve"> </t>
  </si>
  <si>
    <t>Income and profits</t>
  </si>
  <si>
    <t>Bauxite/alumina</t>
  </si>
  <si>
    <t>Other companies</t>
  </si>
  <si>
    <t>PAYE</t>
  </si>
  <si>
    <t>Tax on dividend</t>
  </si>
  <si>
    <t>Other individuals</t>
  </si>
  <si>
    <t>Tax on interest</t>
  </si>
  <si>
    <t>Production and consumption</t>
  </si>
  <si>
    <t>SCT</t>
  </si>
  <si>
    <t>Environmental Levy</t>
  </si>
  <si>
    <t>Motor vehicle licenses</t>
  </si>
  <si>
    <t>Other licenses</t>
  </si>
  <si>
    <t>Quarry Tax</t>
  </si>
  <si>
    <t>Betting, gaming and lottery</t>
  </si>
  <si>
    <t>Accommodation Tax</t>
  </si>
  <si>
    <t>Education Tax</t>
  </si>
  <si>
    <t>Telephone Call Tax</t>
  </si>
  <si>
    <t>Contractors levy</t>
  </si>
  <si>
    <t>GCT (Local)</t>
  </si>
  <si>
    <t>Stamp Duty (Local)</t>
  </si>
  <si>
    <t>International Trade</t>
  </si>
  <si>
    <t>Custom Duty</t>
  </si>
  <si>
    <t>Stamp Duty</t>
  </si>
  <si>
    <t>Travel Tax</t>
  </si>
  <si>
    <t>GCT (Imports)</t>
  </si>
  <si>
    <t>SCT (imports)</t>
  </si>
  <si>
    <t>Q1</t>
  </si>
  <si>
    <t>Q2</t>
  </si>
  <si>
    <t>Q3</t>
  </si>
  <si>
    <t>Q4</t>
  </si>
  <si>
    <t>End Jun</t>
  </si>
  <si>
    <t>End Sep</t>
  </si>
  <si>
    <t>End Dec</t>
  </si>
  <si>
    <t>End Mar</t>
  </si>
  <si>
    <t>Overall Balance (Surp+/Def-)</t>
  </si>
  <si>
    <t>Other Inflows (inc'ds PCDF)</t>
  </si>
  <si>
    <t>Other Outflows (incl'ds BOJ Recapitalization)</t>
  </si>
  <si>
    <t>MBT</t>
  </si>
  <si>
    <t>FY 2023/24</t>
  </si>
  <si>
    <t>Approved Budget</t>
  </si>
  <si>
    <t>CENTRAL GOVERNMENT BUDGET 2023/24</t>
  </si>
  <si>
    <t>Sep</t>
  </si>
  <si>
    <t>Education</t>
  </si>
  <si>
    <t>2022-23</t>
  </si>
  <si>
    <t>2023-24</t>
  </si>
  <si>
    <t>NS</t>
  </si>
  <si>
    <t>FY 2022/23 actual Programmes spending</t>
  </si>
  <si>
    <t>Change (J$mn)</t>
  </si>
  <si>
    <t>Change (%)</t>
  </si>
  <si>
    <t>Apr-May</t>
  </si>
  <si>
    <t>DETAILS OF REVENUE FY 2026/27 - BUDGET</t>
  </si>
  <si>
    <t>FY 2026/27</t>
  </si>
  <si>
    <t>CENTRAL GOVERNMENT OPERATIONS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</si>
</sst>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_(* #,##0.0_);_(* \(#,##0.0\);_(* &quot;-&quot;??_);_(@_)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0.0%"/>
    <numFmt numFmtId="184" formatCode="#,##0.0000000"/>
    <numFmt numFmtId="185" formatCode="_-&quot;£&quot;* #,##0.00_-;\-&quot;£&quot;* #,##0.00_-;_-&quot;£&quot;* &quot;-&quot;??_-;_-@_-"/>
    <numFmt numFmtId="186" formatCode="0.0"/>
    <numFmt numFmtId="187" formatCode="#,##0.000000000000000"/>
    <numFmt numFmtId="188" formatCode="#,##0.0000"/>
    <numFmt numFmtId="189" formatCode="_-* #,##0.0000000000000000000_-;\-* #,##0.0000000000000000000_-;_-* &quot;-&quot;_-;_-@_-"/>
    <numFmt numFmtId="190" formatCode="#,##0.0_);\(#,##0.0\)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rgb="FFC00000"/>
      <name val="Arial"/>
      <family val="2"/>
    </font>
    <font>
      <sz val="11"/>
      <color theme="1"/>
      <name val="Arial"/>
      <family val="2"/>
    </font>
    <font>
      <b/>
      <sz val="11"/>
      <color rgb="FF00B0F0"/>
      <name val="Arial"/>
      <family val="2"/>
    </font>
    <font>
      <sz val="11"/>
      <color rgb="FF00B0F0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color theme="5" tint="-0.249977111117893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Bookman Old Style"/>
      <family val="1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mbria"/>
      <family val="2"/>
    </font>
    <font>
      <sz val="12"/>
      <color theme="1"/>
      <name val="Cambria"/>
      <family val="2"/>
      <scheme val="major"/>
    </font>
    <font>
      <sz val="18"/>
      <color theme="3"/>
      <name val="Cambria"/>
      <family val="2"/>
      <scheme val="major"/>
    </font>
    <font>
      <sz val="11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color theme="0"/>
      <name val="Bookman Old Style"/>
      <family val="1"/>
    </font>
    <font>
      <b/>
      <sz val="14"/>
      <color theme="0"/>
      <name val="Bookman Old Style"/>
      <family val="1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37">
    <xf numFmtId="0" fontId="0" fillId="0" borderId="0"/>
    <xf numFmtId="167" fontId="1" fillId="0" borderId="0" applyFont="0" applyFill="0" applyBorder="0" applyAlignment="0" applyProtection="0"/>
    <xf numFmtId="0" fontId="13" fillId="0" borderId="0"/>
    <xf numFmtId="0" fontId="16" fillId="0" borderId="0"/>
    <xf numFmtId="0" fontId="16" fillId="0" borderId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175" fontId="17" fillId="0" borderId="0" applyFont="0" applyFill="0" applyBorder="0" applyAlignment="0" applyProtection="0"/>
    <xf numFmtId="0" fontId="19" fillId="1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4" applyFont="0" applyFill="0" applyAlignment="0" applyProtection="0"/>
    <xf numFmtId="43" fontId="13" fillId="0" borderId="4" applyFont="0" applyFill="0" applyAlignment="0" applyProtection="0"/>
    <xf numFmtId="43" fontId="13" fillId="0" borderId="4" applyFont="0" applyFill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38" fontId="22" fillId="1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0" fontId="22" fillId="2" borderId="5" applyNumberFormat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37" fontId="20" fillId="0" borderId="0"/>
    <xf numFmtId="0" fontId="1" fillId="0" borderId="0"/>
    <xf numFmtId="0" fontId="13" fillId="15" borderId="6" applyNumberFormat="0" applyFont="0" applyAlignment="0" applyProtection="0"/>
    <xf numFmtId="0" fontId="13" fillId="15" borderId="6" applyNumberFormat="0" applyFont="0" applyAlignment="0" applyProtection="0"/>
    <xf numFmtId="0" fontId="13" fillId="15" borderId="6" applyNumberFormat="0" applyFont="0" applyAlignment="0" applyProtection="0"/>
    <xf numFmtId="0" fontId="13" fillId="15" borderId="6" applyNumberFormat="0" applyFont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24" fillId="0" borderId="0" applyFill="0" applyBorder="0" applyAlignment="0">
      <alignment horizontal="centerContinuous"/>
    </xf>
    <xf numFmtId="0" fontId="13" fillId="0" borderId="0" applyNumberFormat="0"/>
    <xf numFmtId="0" fontId="13" fillId="0" borderId="0" applyNumberFormat="0"/>
    <xf numFmtId="0" fontId="13" fillId="0" borderId="0" applyNumberFormat="0"/>
    <xf numFmtId="0" fontId="13" fillId="0" borderId="0" applyNumberFormat="0"/>
    <xf numFmtId="0" fontId="13" fillId="0" borderId="0" applyNumberFormat="0"/>
    <xf numFmtId="0" fontId="27" fillId="0" borderId="0" applyProtection="0"/>
    <xf numFmtId="182" fontId="27" fillId="0" borderId="0" applyProtection="0"/>
    <xf numFmtId="0" fontId="28" fillId="0" borderId="0" applyProtection="0"/>
    <xf numFmtId="0" fontId="29" fillId="0" borderId="0" applyProtection="0"/>
    <xf numFmtId="0" fontId="27" fillId="0" borderId="7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0" fontId="16" fillId="0" borderId="0"/>
    <xf numFmtId="0" fontId="24" fillId="0" borderId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3" fillId="16" borderId="0" applyNumberFormat="0" applyBorder="0" applyAlignment="0" applyProtection="0"/>
    <xf numFmtId="0" fontId="34" fillId="24" borderId="8" applyNumberFormat="0" applyAlignment="0" applyProtection="0"/>
    <xf numFmtId="0" fontId="35" fillId="25" borderId="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8" applyNumberFormat="0" applyAlignment="0" applyProtection="0"/>
    <xf numFmtId="0" fontId="42" fillId="0" borderId="13" applyNumberFormat="0" applyFill="0" applyAlignment="0" applyProtection="0"/>
    <xf numFmtId="0" fontId="43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24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16" fillId="0" borderId="0"/>
    <xf numFmtId="0" fontId="16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167" fontId="16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24" fillId="0" borderId="0"/>
    <xf numFmtId="43" fontId="30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8" fillId="0" borderId="0" applyNumberFormat="0" applyFill="0" applyBorder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52" fillId="27" borderId="0" applyNumberFormat="0" applyBorder="0" applyAlignment="0" applyProtection="0"/>
    <xf numFmtId="0" fontId="33" fillId="16" borderId="0" applyNumberFormat="0" applyBorder="0" applyAlignment="0" applyProtection="0"/>
    <xf numFmtId="0" fontId="53" fillId="28" borderId="0" applyNumberFormat="0" applyBorder="0" applyAlignment="0" applyProtection="0"/>
    <xf numFmtId="0" fontId="54" fillId="29" borderId="19" applyNumberFormat="0" applyAlignment="0" applyProtection="0"/>
    <xf numFmtId="0" fontId="55" fillId="30" borderId="20" applyNumberFormat="0" applyAlignment="0" applyProtection="0"/>
    <xf numFmtId="0" fontId="56" fillId="30" borderId="19" applyNumberFormat="0" applyAlignment="0" applyProtection="0"/>
    <xf numFmtId="0" fontId="57" fillId="0" borderId="21" applyNumberFormat="0" applyFill="0" applyAlignment="0" applyProtection="0"/>
    <xf numFmtId="0" fontId="58" fillId="31" borderId="22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24" applyNumberFormat="0" applyFill="0" applyAlignment="0" applyProtection="0"/>
    <xf numFmtId="0" fontId="6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1" fillId="44" borderId="0" applyNumberFormat="0" applyBorder="0" applyAlignment="0" applyProtection="0"/>
    <xf numFmtId="0" fontId="6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1" fillId="5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5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4" applyFon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32" borderId="23" applyNumberFormat="0" applyFont="0" applyAlignment="0" applyProtection="0"/>
    <xf numFmtId="0" fontId="13" fillId="15" borderId="6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0" fontId="1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67" fontId="18" fillId="0" borderId="0" applyFont="0" applyFill="0" applyBorder="0" applyAlignment="0" applyProtection="0"/>
    <xf numFmtId="0" fontId="52" fillId="27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7" fillId="5" borderId="0" applyNumberFormat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43" fontId="13" fillId="0" borderId="4" applyFont="0" applyFill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9" fontId="18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9" fontId="18" fillId="0" borderId="0" applyFont="0" applyFill="0" applyBorder="0" applyAlignment="0" applyProtection="0"/>
    <xf numFmtId="0" fontId="18" fillId="32" borderId="23" applyNumberFormat="0" applyFont="0" applyAlignment="0" applyProtection="0"/>
    <xf numFmtId="9" fontId="18" fillId="0" borderId="0" applyFont="0" applyFill="0" applyBorder="0" applyAlignment="0" applyProtection="0"/>
    <xf numFmtId="0" fontId="18" fillId="32" borderId="23" applyNumberFormat="0" applyFont="0" applyAlignment="0" applyProtection="0"/>
    <xf numFmtId="0" fontId="1" fillId="32" borderId="23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0" fontId="16" fillId="0" borderId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32" borderId="23" applyNumberFormat="0" applyFont="0" applyAlignment="0" applyProtection="0"/>
    <xf numFmtId="0" fontId="18" fillId="32" borderId="23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55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0" fontId="1" fillId="35" borderId="0" applyNumberFormat="0" applyBorder="0" applyAlignment="0" applyProtection="0"/>
    <xf numFmtId="0" fontId="1" fillId="54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3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63" fillId="0" borderId="0"/>
    <xf numFmtId="0" fontId="16" fillId="0" borderId="0"/>
    <xf numFmtId="0" fontId="16" fillId="0" borderId="0"/>
    <xf numFmtId="0" fontId="16" fillId="0" borderId="0"/>
    <xf numFmtId="167" fontId="6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37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9" fontId="18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3" fillId="0" borderId="0"/>
    <xf numFmtId="0" fontId="24" fillId="0" borderId="0"/>
    <xf numFmtId="0" fontId="1" fillId="0" borderId="0"/>
    <xf numFmtId="0" fontId="1" fillId="0" borderId="0"/>
    <xf numFmtId="0" fontId="16" fillId="0" borderId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167" fontId="1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8" fillId="32" borderId="23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32" borderId="23" applyNumberFormat="0" applyFont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168" fontId="2" fillId="0" borderId="0" xfId="0" quotePrefix="1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5" fillId="0" borderId="1" xfId="0" applyNumberFormat="1" applyFont="1" applyBorder="1"/>
    <xf numFmtId="168" fontId="5" fillId="0" borderId="0" xfId="0" applyNumberFormat="1" applyFont="1"/>
    <xf numFmtId="0" fontId="4" fillId="0" borderId="0" xfId="0" applyFont="1"/>
    <xf numFmtId="0" fontId="5" fillId="0" borderId="0" xfId="0" applyFont="1"/>
    <xf numFmtId="168" fontId="6" fillId="0" borderId="0" xfId="0" applyNumberFormat="1" applyFont="1" applyAlignment="1">
      <alignment horizontal="right"/>
    </xf>
    <xf numFmtId="0" fontId="6" fillId="0" borderId="0" xfId="0" applyFont="1"/>
    <xf numFmtId="168" fontId="6" fillId="0" borderId="0" xfId="0" applyNumberFormat="1" applyFont="1"/>
    <xf numFmtId="0" fontId="8" fillId="0" borderId="0" xfId="0" applyFont="1"/>
    <xf numFmtId="168" fontId="8" fillId="0" borderId="0" xfId="0" applyNumberFormat="1" applyFont="1"/>
    <xf numFmtId="0" fontId="10" fillId="0" borderId="0" xfId="0" applyFont="1"/>
    <xf numFmtId="168" fontId="9" fillId="0" borderId="0" xfId="0" applyNumberFormat="1" applyFont="1"/>
    <xf numFmtId="0" fontId="11" fillId="0" borderId="0" xfId="0" applyFont="1"/>
    <xf numFmtId="0" fontId="4" fillId="0" borderId="3" xfId="0" applyFont="1" applyBorder="1"/>
    <xf numFmtId="168" fontId="11" fillId="0" borderId="0" xfId="0" applyNumberFormat="1" applyFont="1"/>
    <xf numFmtId="170" fontId="0" fillId="0" borderId="0" xfId="0" applyNumberFormat="1"/>
    <xf numFmtId="168" fontId="0" fillId="0" borderId="0" xfId="0" applyNumberFormat="1"/>
    <xf numFmtId="170" fontId="11" fillId="0" borderId="0" xfId="0" applyNumberFormat="1" applyFont="1" applyAlignment="1">
      <alignment horizontal="center"/>
    </xf>
    <xf numFmtId="168" fontId="4" fillId="0" borderId="0" xfId="112" applyNumberFormat="1" applyFont="1"/>
    <xf numFmtId="168" fontId="31" fillId="0" borderId="0" xfId="0" applyNumberFormat="1" applyFont="1"/>
    <xf numFmtId="168" fontId="4" fillId="0" borderId="0" xfId="0" applyNumberFormat="1" applyFont="1"/>
    <xf numFmtId="168" fontId="4" fillId="0" borderId="3" xfId="0" applyNumberFormat="1" applyFont="1" applyBorder="1"/>
    <xf numFmtId="168" fontId="8" fillId="0" borderId="0" xfId="1" applyNumberFormat="1" applyFont="1"/>
    <xf numFmtId="167" fontId="0" fillId="0" borderId="0" xfId="1" applyFont="1" applyFill="1"/>
    <xf numFmtId="167" fontId="0" fillId="0" borderId="0" xfId="0" applyNumberFormat="1"/>
    <xf numFmtId="9" fontId="0" fillId="0" borderId="0" xfId="213" applyFont="1" applyFill="1"/>
    <xf numFmtId="183" fontId="0" fillId="0" borderId="0" xfId="213" applyNumberFormat="1" applyFont="1" applyFill="1"/>
    <xf numFmtId="9" fontId="0" fillId="0" borderId="0" xfId="0" applyNumberFormat="1"/>
    <xf numFmtId="168" fontId="0" fillId="0" borderId="0" xfId="0" applyNumberFormat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70" fontId="6" fillId="0" borderId="0" xfId="0" applyNumberFormat="1" applyFont="1" applyAlignment="1">
      <alignment horizontal="right"/>
    </xf>
    <xf numFmtId="184" fontId="6" fillId="0" borderId="0" xfId="0" applyNumberFormat="1" applyFont="1" applyAlignment="1">
      <alignment horizontal="right"/>
    </xf>
    <xf numFmtId="168" fontId="12" fillId="0" borderId="0" xfId="0" applyNumberFormat="1" applyFont="1"/>
    <xf numFmtId="168" fontId="5" fillId="0" borderId="0" xfId="1412" applyNumberFormat="1" applyFont="1"/>
    <xf numFmtId="168" fontId="5" fillId="0" borderId="0" xfId="0" applyNumberFormat="1" applyFont="1" applyAlignment="1">
      <alignment horizontal="right"/>
    </xf>
    <xf numFmtId="169" fontId="11" fillId="0" borderId="3" xfId="1" applyNumberFormat="1" applyFont="1" applyBorder="1"/>
    <xf numFmtId="169" fontId="11" fillId="0" borderId="0" xfId="1" applyNumberFormat="1" applyFont="1"/>
    <xf numFmtId="169" fontId="8" fillId="0" borderId="0" xfId="1" applyNumberFormat="1" applyFont="1" applyFill="1"/>
    <xf numFmtId="0" fontId="68" fillId="0" borderId="0" xfId="0" quotePrefix="1" applyFont="1"/>
    <xf numFmtId="0" fontId="68" fillId="0" borderId="0" xfId="0" applyFont="1"/>
    <xf numFmtId="186" fontId="11" fillId="0" borderId="0" xfId="1" applyNumberFormat="1" applyFont="1"/>
    <xf numFmtId="0" fontId="7" fillId="0" borderId="0" xfId="0" applyFont="1"/>
    <xf numFmtId="0" fontId="1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3" xfId="0" applyFont="1" applyBorder="1"/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1" fillId="0" borderId="3" xfId="0" applyFont="1" applyBorder="1"/>
    <xf numFmtId="168" fontId="11" fillId="0" borderId="0" xfId="1" applyNumberFormat="1" applyFont="1" applyFill="1"/>
    <xf numFmtId="168" fontId="8" fillId="0" borderId="0" xfId="1" applyNumberFormat="1" applyFont="1" applyFill="1"/>
    <xf numFmtId="0" fontId="11" fillId="0" borderId="3" xfId="0" applyFont="1" applyBorder="1" applyAlignment="1">
      <alignment horizontal="center"/>
    </xf>
    <xf numFmtId="168" fontId="7" fillId="0" borderId="0" xfId="0" applyNumberFormat="1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167" fontId="11" fillId="0" borderId="0" xfId="1" applyFont="1" applyAlignment="1">
      <alignment horizontal="center"/>
    </xf>
    <xf numFmtId="168" fontId="4" fillId="0" borderId="0" xfId="0" quotePrefix="1" applyNumberFormat="1" applyFont="1"/>
    <xf numFmtId="170" fontId="4" fillId="0" borderId="2" xfId="0" applyNumberFormat="1" applyFont="1" applyBorder="1" applyAlignment="1">
      <alignment horizontal="center"/>
    </xf>
    <xf numFmtId="168" fontId="15" fillId="0" borderId="0" xfId="0" applyNumberFormat="1" applyFont="1" applyAlignment="1">
      <alignment horizontal="right"/>
    </xf>
    <xf numFmtId="186" fontId="8" fillId="0" borderId="0" xfId="1" applyNumberFormat="1" applyFont="1" applyFill="1"/>
    <xf numFmtId="168" fontId="8" fillId="0" borderId="0" xfId="1412" applyNumberFormat="1" applyFont="1"/>
    <xf numFmtId="168" fontId="8" fillId="0" borderId="0" xfId="0" applyNumberFormat="1" applyFont="1" applyAlignment="1">
      <alignment horizontal="right"/>
    </xf>
    <xf numFmtId="187" fontId="8" fillId="0" borderId="0" xfId="0" applyNumberFormat="1" applyFont="1"/>
    <xf numFmtId="168" fontId="3" fillId="0" borderId="0" xfId="0" applyNumberFormat="1" applyFont="1"/>
    <xf numFmtId="0" fontId="0" fillId="57" borderId="0" xfId="0" applyFill="1"/>
    <xf numFmtId="168" fontId="0" fillId="57" borderId="0" xfId="0" applyNumberFormat="1" applyFill="1"/>
    <xf numFmtId="183" fontId="0" fillId="57" borderId="0" xfId="213" applyNumberFormat="1" applyFont="1" applyFill="1"/>
    <xf numFmtId="168" fontId="69" fillId="0" borderId="0" xfId="0" applyNumberFormat="1" applyFont="1"/>
    <xf numFmtId="0" fontId="61" fillId="0" borderId="0" xfId="0" applyFont="1"/>
    <xf numFmtId="0" fontId="69" fillId="0" borderId="0" xfId="0" applyFont="1"/>
    <xf numFmtId="0" fontId="70" fillId="0" borderId="0" xfId="0" applyFont="1"/>
    <xf numFmtId="188" fontId="8" fillId="0" borderId="0" xfId="0" applyNumberFormat="1" applyFont="1"/>
    <xf numFmtId="3" fontId="0" fillId="0" borderId="0" xfId="0" applyNumberFormat="1"/>
    <xf numFmtId="189" fontId="0" fillId="0" borderId="0" xfId="0" applyNumberFormat="1"/>
    <xf numFmtId="190" fontId="8" fillId="0" borderId="0" xfId="1" applyNumberFormat="1" applyFont="1" applyFill="1"/>
    <xf numFmtId="0" fontId="2" fillId="0" borderId="0" xfId="0" quotePrefix="1" applyFont="1" applyAlignment="1">
      <alignment horizontal="left"/>
    </xf>
    <xf numFmtId="168" fontId="4" fillId="0" borderId="2" xfId="0" quotePrefix="1" applyNumberFormat="1" applyFon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41" fontId="0" fillId="0" borderId="0" xfId="0" applyNumberFormat="1"/>
    <xf numFmtId="184" fontId="0" fillId="0" borderId="0" xfId="0" applyNumberFormat="1"/>
    <xf numFmtId="168" fontId="11" fillId="0" borderId="0" xfId="0" applyNumberFormat="1" applyFont="1" applyAlignment="1">
      <alignment horizontal="center"/>
    </xf>
    <xf numFmtId="186" fontId="11" fillId="0" borderId="3" xfId="1" applyNumberFormat="1" applyFont="1" applyBorder="1"/>
  </cellXfs>
  <cellStyles count="3037">
    <cellStyle name="1 indent" xfId="5" xr:uid="{00000000-0005-0000-0000-000000000000}"/>
    <cellStyle name="2 indents" xfId="6" xr:uid="{00000000-0005-0000-0000-000001000000}"/>
    <cellStyle name="20% - Accent1" xfId="578" builtinId="30" customBuiltin="1"/>
    <cellStyle name="20% - Accent1 2" xfId="7" xr:uid="{00000000-0005-0000-0000-000003000000}"/>
    <cellStyle name="20% - Accent1 2 2" xfId="282" xr:uid="{00000000-0005-0000-0000-000004000000}"/>
    <cellStyle name="20% - Accent1 2 3" xfId="484" xr:uid="{00000000-0005-0000-0000-000005000000}"/>
    <cellStyle name="20% - Accent1 3" xfId="8" xr:uid="{00000000-0005-0000-0000-000006000000}"/>
    <cellStyle name="20% - Accent1 3 2" xfId="283" xr:uid="{00000000-0005-0000-0000-000007000000}"/>
    <cellStyle name="20% - Accent1 3 3" xfId="485" xr:uid="{00000000-0005-0000-0000-000008000000}"/>
    <cellStyle name="20% - Accent1 4" xfId="9" xr:uid="{00000000-0005-0000-0000-000009000000}"/>
    <cellStyle name="20% - Accent1 4 2" xfId="284" xr:uid="{00000000-0005-0000-0000-00000A000000}"/>
    <cellStyle name="20% - Accent1 4 3" xfId="486" xr:uid="{00000000-0005-0000-0000-00000B000000}"/>
    <cellStyle name="20% - Accent1 5" xfId="10" xr:uid="{00000000-0005-0000-0000-00000C000000}"/>
    <cellStyle name="20% - Accent1 5 2" xfId="285" xr:uid="{00000000-0005-0000-0000-00000D000000}"/>
    <cellStyle name="20% - Accent1 5 3" xfId="487" xr:uid="{00000000-0005-0000-0000-00000E000000}"/>
    <cellStyle name="20% - Accent1 6" xfId="1611" xr:uid="{00000000-0005-0000-0000-00000F000000}"/>
    <cellStyle name="20% - Accent1 7" xfId="2511" xr:uid="{00000000-0005-0000-0000-000010000000}"/>
    <cellStyle name="20% - Accent2" xfId="582" builtinId="34" customBuiltin="1"/>
    <cellStyle name="20% - Accent2 2" xfId="11" xr:uid="{00000000-0005-0000-0000-000012000000}"/>
    <cellStyle name="20% - Accent2 2 2" xfId="286" xr:uid="{00000000-0005-0000-0000-000013000000}"/>
    <cellStyle name="20% - Accent2 2 3" xfId="488" xr:uid="{00000000-0005-0000-0000-000014000000}"/>
    <cellStyle name="20% - Accent2 3" xfId="12" xr:uid="{00000000-0005-0000-0000-000015000000}"/>
    <cellStyle name="20% - Accent2 3 2" xfId="287" xr:uid="{00000000-0005-0000-0000-000016000000}"/>
    <cellStyle name="20% - Accent2 3 3" xfId="489" xr:uid="{00000000-0005-0000-0000-000017000000}"/>
    <cellStyle name="20% - Accent2 4" xfId="13" xr:uid="{00000000-0005-0000-0000-000018000000}"/>
    <cellStyle name="20% - Accent2 4 2" xfId="288" xr:uid="{00000000-0005-0000-0000-000019000000}"/>
    <cellStyle name="20% - Accent2 4 3" xfId="490" xr:uid="{00000000-0005-0000-0000-00001A000000}"/>
    <cellStyle name="20% - Accent2 5" xfId="14" xr:uid="{00000000-0005-0000-0000-00001B000000}"/>
    <cellStyle name="20% - Accent2 5 2" xfId="289" xr:uid="{00000000-0005-0000-0000-00001C000000}"/>
    <cellStyle name="20% - Accent2 5 3" xfId="491" xr:uid="{00000000-0005-0000-0000-00001D000000}"/>
    <cellStyle name="20% - Accent2 6" xfId="1612" xr:uid="{00000000-0005-0000-0000-00001E000000}"/>
    <cellStyle name="20% - Accent2 7" xfId="2510" xr:uid="{00000000-0005-0000-0000-00001F000000}"/>
    <cellStyle name="20% - Accent3" xfId="586" builtinId="38" customBuiltin="1"/>
    <cellStyle name="20% - Accent3 2" xfId="15" xr:uid="{00000000-0005-0000-0000-000021000000}"/>
    <cellStyle name="20% - Accent3 2 2" xfId="290" xr:uid="{00000000-0005-0000-0000-000022000000}"/>
    <cellStyle name="20% - Accent3 2 3" xfId="492" xr:uid="{00000000-0005-0000-0000-000023000000}"/>
    <cellStyle name="20% - Accent3 3" xfId="16" xr:uid="{00000000-0005-0000-0000-000024000000}"/>
    <cellStyle name="20% - Accent3 3 2" xfId="291" xr:uid="{00000000-0005-0000-0000-000025000000}"/>
    <cellStyle name="20% - Accent3 3 3" xfId="493" xr:uid="{00000000-0005-0000-0000-000026000000}"/>
    <cellStyle name="20% - Accent3 4" xfId="17" xr:uid="{00000000-0005-0000-0000-000027000000}"/>
    <cellStyle name="20% - Accent3 4 2" xfId="292" xr:uid="{00000000-0005-0000-0000-000028000000}"/>
    <cellStyle name="20% - Accent3 4 3" xfId="494" xr:uid="{00000000-0005-0000-0000-000029000000}"/>
    <cellStyle name="20% - Accent3 5" xfId="18" xr:uid="{00000000-0005-0000-0000-00002A000000}"/>
    <cellStyle name="20% - Accent3 5 2" xfId="293" xr:uid="{00000000-0005-0000-0000-00002B000000}"/>
    <cellStyle name="20% - Accent3 5 3" xfId="495" xr:uid="{00000000-0005-0000-0000-00002C000000}"/>
    <cellStyle name="20% - Accent3 6" xfId="1613" xr:uid="{00000000-0005-0000-0000-00002D000000}"/>
    <cellStyle name="20% - Accent3 7" xfId="2509" xr:uid="{00000000-0005-0000-0000-00002E000000}"/>
    <cellStyle name="20% - Accent4" xfId="590" builtinId="42" customBuiltin="1"/>
    <cellStyle name="20% - Accent4 2" xfId="19" xr:uid="{00000000-0005-0000-0000-000030000000}"/>
    <cellStyle name="20% - Accent4 2 2" xfId="294" xr:uid="{00000000-0005-0000-0000-000031000000}"/>
    <cellStyle name="20% - Accent4 2 3" xfId="496" xr:uid="{00000000-0005-0000-0000-000032000000}"/>
    <cellStyle name="20% - Accent4 3" xfId="20" xr:uid="{00000000-0005-0000-0000-000033000000}"/>
    <cellStyle name="20% - Accent4 3 2" xfId="295" xr:uid="{00000000-0005-0000-0000-000034000000}"/>
    <cellStyle name="20% - Accent4 3 3" xfId="497" xr:uid="{00000000-0005-0000-0000-000035000000}"/>
    <cellStyle name="20% - Accent4 4" xfId="21" xr:uid="{00000000-0005-0000-0000-000036000000}"/>
    <cellStyle name="20% - Accent4 4 2" xfId="296" xr:uid="{00000000-0005-0000-0000-000037000000}"/>
    <cellStyle name="20% - Accent4 4 3" xfId="498" xr:uid="{00000000-0005-0000-0000-000038000000}"/>
    <cellStyle name="20% - Accent4 5" xfId="22" xr:uid="{00000000-0005-0000-0000-000039000000}"/>
    <cellStyle name="20% - Accent4 5 2" xfId="297" xr:uid="{00000000-0005-0000-0000-00003A000000}"/>
    <cellStyle name="20% - Accent4 5 3" xfId="499" xr:uid="{00000000-0005-0000-0000-00003B000000}"/>
    <cellStyle name="20% - Accent4 6" xfId="1614" xr:uid="{00000000-0005-0000-0000-00003C000000}"/>
    <cellStyle name="20% - Accent4 7" xfId="2508" xr:uid="{00000000-0005-0000-0000-00003D000000}"/>
    <cellStyle name="20% - Accent5" xfId="594" builtinId="46" customBuiltin="1"/>
    <cellStyle name="20% - Accent5 2" xfId="23" xr:uid="{00000000-0005-0000-0000-00003F000000}"/>
    <cellStyle name="20% - Accent5 2 2" xfId="298" xr:uid="{00000000-0005-0000-0000-000040000000}"/>
    <cellStyle name="20% - Accent5 2 3" xfId="500" xr:uid="{00000000-0005-0000-0000-000041000000}"/>
    <cellStyle name="20% - Accent5 3" xfId="24" xr:uid="{00000000-0005-0000-0000-000042000000}"/>
    <cellStyle name="20% - Accent5 3 2" xfId="299" xr:uid="{00000000-0005-0000-0000-000043000000}"/>
    <cellStyle name="20% - Accent5 3 3" xfId="501" xr:uid="{00000000-0005-0000-0000-000044000000}"/>
    <cellStyle name="20% - Accent5 4" xfId="25" xr:uid="{00000000-0005-0000-0000-000045000000}"/>
    <cellStyle name="20% - Accent5 4 2" xfId="300" xr:uid="{00000000-0005-0000-0000-000046000000}"/>
    <cellStyle name="20% - Accent5 4 3" xfId="502" xr:uid="{00000000-0005-0000-0000-000047000000}"/>
    <cellStyle name="20% - Accent5 5" xfId="26" xr:uid="{00000000-0005-0000-0000-000048000000}"/>
    <cellStyle name="20% - Accent5 5 2" xfId="301" xr:uid="{00000000-0005-0000-0000-000049000000}"/>
    <cellStyle name="20% - Accent5 5 3" xfId="503" xr:uid="{00000000-0005-0000-0000-00004A000000}"/>
    <cellStyle name="20% - Accent5 6" xfId="1615" xr:uid="{00000000-0005-0000-0000-00004B000000}"/>
    <cellStyle name="20% - Accent5 7" xfId="2507" xr:uid="{00000000-0005-0000-0000-00004C000000}"/>
    <cellStyle name="20% - Accent6" xfId="598" builtinId="50" customBuiltin="1"/>
    <cellStyle name="20% - Accent6 2" xfId="27" xr:uid="{00000000-0005-0000-0000-00004E000000}"/>
    <cellStyle name="20% - Accent6 2 2" xfId="302" xr:uid="{00000000-0005-0000-0000-00004F000000}"/>
    <cellStyle name="20% - Accent6 2 3" xfId="504" xr:uid="{00000000-0005-0000-0000-000050000000}"/>
    <cellStyle name="20% - Accent6 3" xfId="28" xr:uid="{00000000-0005-0000-0000-000051000000}"/>
    <cellStyle name="20% - Accent6 3 2" xfId="303" xr:uid="{00000000-0005-0000-0000-000052000000}"/>
    <cellStyle name="20% - Accent6 3 3" xfId="505" xr:uid="{00000000-0005-0000-0000-000053000000}"/>
    <cellStyle name="20% - Accent6 4" xfId="29" xr:uid="{00000000-0005-0000-0000-000054000000}"/>
    <cellStyle name="20% - Accent6 4 2" xfId="304" xr:uid="{00000000-0005-0000-0000-000055000000}"/>
    <cellStyle name="20% - Accent6 4 3" xfId="506" xr:uid="{00000000-0005-0000-0000-000056000000}"/>
    <cellStyle name="20% - Accent6 5" xfId="30" xr:uid="{00000000-0005-0000-0000-000057000000}"/>
    <cellStyle name="20% - Accent6 5 2" xfId="305" xr:uid="{00000000-0005-0000-0000-000058000000}"/>
    <cellStyle name="20% - Accent6 5 3" xfId="507" xr:uid="{00000000-0005-0000-0000-000059000000}"/>
    <cellStyle name="20% - Accent6 6" xfId="1616" xr:uid="{00000000-0005-0000-0000-00005A000000}"/>
    <cellStyle name="20% - Accent6 7" xfId="2506" xr:uid="{00000000-0005-0000-0000-00005B000000}"/>
    <cellStyle name="3 indents" xfId="31" xr:uid="{00000000-0005-0000-0000-00005C000000}"/>
    <cellStyle name="4 indents" xfId="32" xr:uid="{00000000-0005-0000-0000-00005D000000}"/>
    <cellStyle name="40% - Accent1" xfId="579" builtinId="31" customBuiltin="1"/>
    <cellStyle name="40% - Accent1 2" xfId="33" xr:uid="{00000000-0005-0000-0000-00005F000000}"/>
    <cellStyle name="40% - Accent1 2 2" xfId="306" xr:uid="{00000000-0005-0000-0000-000060000000}"/>
    <cellStyle name="40% - Accent1 2 3" xfId="508" xr:uid="{00000000-0005-0000-0000-000061000000}"/>
    <cellStyle name="40% - Accent1 3" xfId="34" xr:uid="{00000000-0005-0000-0000-000062000000}"/>
    <cellStyle name="40% - Accent1 3 2" xfId="307" xr:uid="{00000000-0005-0000-0000-000063000000}"/>
    <cellStyle name="40% - Accent1 3 3" xfId="509" xr:uid="{00000000-0005-0000-0000-000064000000}"/>
    <cellStyle name="40% - Accent1 4" xfId="35" xr:uid="{00000000-0005-0000-0000-000065000000}"/>
    <cellStyle name="40% - Accent1 4 2" xfId="308" xr:uid="{00000000-0005-0000-0000-000066000000}"/>
    <cellStyle name="40% - Accent1 4 3" xfId="510" xr:uid="{00000000-0005-0000-0000-000067000000}"/>
    <cellStyle name="40% - Accent1 5" xfId="36" xr:uid="{00000000-0005-0000-0000-000068000000}"/>
    <cellStyle name="40% - Accent1 5 2" xfId="309" xr:uid="{00000000-0005-0000-0000-000069000000}"/>
    <cellStyle name="40% - Accent1 5 3" xfId="511" xr:uid="{00000000-0005-0000-0000-00006A000000}"/>
    <cellStyle name="40% - Accent1 6" xfId="1617" xr:uid="{00000000-0005-0000-0000-00006B000000}"/>
    <cellStyle name="40% - Accent1 7" xfId="2505" xr:uid="{00000000-0005-0000-0000-00006C000000}"/>
    <cellStyle name="40% - Accent2" xfId="583" builtinId="35" customBuiltin="1"/>
    <cellStyle name="40% - Accent2 2" xfId="37" xr:uid="{00000000-0005-0000-0000-00006E000000}"/>
    <cellStyle name="40% - Accent2 2 2" xfId="310" xr:uid="{00000000-0005-0000-0000-00006F000000}"/>
    <cellStyle name="40% - Accent2 2 3" xfId="512" xr:uid="{00000000-0005-0000-0000-000070000000}"/>
    <cellStyle name="40% - Accent2 3" xfId="38" xr:uid="{00000000-0005-0000-0000-000071000000}"/>
    <cellStyle name="40% - Accent2 3 2" xfId="311" xr:uid="{00000000-0005-0000-0000-000072000000}"/>
    <cellStyle name="40% - Accent2 3 3" xfId="513" xr:uid="{00000000-0005-0000-0000-000073000000}"/>
    <cellStyle name="40% - Accent2 4" xfId="39" xr:uid="{00000000-0005-0000-0000-000074000000}"/>
    <cellStyle name="40% - Accent2 4 2" xfId="312" xr:uid="{00000000-0005-0000-0000-000075000000}"/>
    <cellStyle name="40% - Accent2 4 3" xfId="514" xr:uid="{00000000-0005-0000-0000-000076000000}"/>
    <cellStyle name="40% - Accent2 5" xfId="40" xr:uid="{00000000-0005-0000-0000-000077000000}"/>
    <cellStyle name="40% - Accent2 5 2" xfId="313" xr:uid="{00000000-0005-0000-0000-000078000000}"/>
    <cellStyle name="40% - Accent2 5 3" xfId="515" xr:uid="{00000000-0005-0000-0000-000079000000}"/>
    <cellStyle name="40% - Accent2 6" xfId="1618" xr:uid="{00000000-0005-0000-0000-00007A000000}"/>
    <cellStyle name="40% - Accent2 7" xfId="2504" xr:uid="{00000000-0005-0000-0000-00007B000000}"/>
    <cellStyle name="40% - Accent3" xfId="587" builtinId="39" customBuiltin="1"/>
    <cellStyle name="40% - Accent3 2" xfId="41" xr:uid="{00000000-0005-0000-0000-00007D000000}"/>
    <cellStyle name="40% - Accent3 2 2" xfId="314" xr:uid="{00000000-0005-0000-0000-00007E000000}"/>
    <cellStyle name="40% - Accent3 2 3" xfId="516" xr:uid="{00000000-0005-0000-0000-00007F000000}"/>
    <cellStyle name="40% - Accent3 3" xfId="42" xr:uid="{00000000-0005-0000-0000-000080000000}"/>
    <cellStyle name="40% - Accent3 3 2" xfId="315" xr:uid="{00000000-0005-0000-0000-000081000000}"/>
    <cellStyle name="40% - Accent3 3 3" xfId="517" xr:uid="{00000000-0005-0000-0000-000082000000}"/>
    <cellStyle name="40% - Accent3 4" xfId="43" xr:uid="{00000000-0005-0000-0000-000083000000}"/>
    <cellStyle name="40% - Accent3 4 2" xfId="316" xr:uid="{00000000-0005-0000-0000-000084000000}"/>
    <cellStyle name="40% - Accent3 4 3" xfId="518" xr:uid="{00000000-0005-0000-0000-000085000000}"/>
    <cellStyle name="40% - Accent3 5" xfId="44" xr:uid="{00000000-0005-0000-0000-000086000000}"/>
    <cellStyle name="40% - Accent3 5 2" xfId="317" xr:uid="{00000000-0005-0000-0000-000087000000}"/>
    <cellStyle name="40% - Accent3 5 3" xfId="519" xr:uid="{00000000-0005-0000-0000-000088000000}"/>
    <cellStyle name="40% - Accent3 6" xfId="1619" xr:uid="{00000000-0005-0000-0000-000089000000}"/>
    <cellStyle name="40% - Accent3 7" xfId="2503" xr:uid="{00000000-0005-0000-0000-00008A000000}"/>
    <cellStyle name="40% - Accent4" xfId="591" builtinId="43" customBuiltin="1"/>
    <cellStyle name="40% - Accent4 2" xfId="45" xr:uid="{00000000-0005-0000-0000-00008C000000}"/>
    <cellStyle name="40% - Accent4 2 2" xfId="318" xr:uid="{00000000-0005-0000-0000-00008D000000}"/>
    <cellStyle name="40% - Accent4 2 3" xfId="520" xr:uid="{00000000-0005-0000-0000-00008E000000}"/>
    <cellStyle name="40% - Accent4 3" xfId="46" xr:uid="{00000000-0005-0000-0000-00008F000000}"/>
    <cellStyle name="40% - Accent4 3 2" xfId="319" xr:uid="{00000000-0005-0000-0000-000090000000}"/>
    <cellStyle name="40% - Accent4 3 3" xfId="521" xr:uid="{00000000-0005-0000-0000-000091000000}"/>
    <cellStyle name="40% - Accent4 4" xfId="47" xr:uid="{00000000-0005-0000-0000-000092000000}"/>
    <cellStyle name="40% - Accent4 4 2" xfId="320" xr:uid="{00000000-0005-0000-0000-000093000000}"/>
    <cellStyle name="40% - Accent4 4 3" xfId="522" xr:uid="{00000000-0005-0000-0000-000094000000}"/>
    <cellStyle name="40% - Accent4 5" xfId="48" xr:uid="{00000000-0005-0000-0000-000095000000}"/>
    <cellStyle name="40% - Accent4 5 2" xfId="321" xr:uid="{00000000-0005-0000-0000-000096000000}"/>
    <cellStyle name="40% - Accent4 5 3" xfId="523" xr:uid="{00000000-0005-0000-0000-000097000000}"/>
    <cellStyle name="40% - Accent4 6" xfId="1620" xr:uid="{00000000-0005-0000-0000-000098000000}"/>
    <cellStyle name="40% - Accent4 7" xfId="2502" xr:uid="{00000000-0005-0000-0000-000099000000}"/>
    <cellStyle name="40% - Accent5" xfId="595" builtinId="47" customBuiltin="1"/>
    <cellStyle name="40% - Accent5 2" xfId="49" xr:uid="{00000000-0005-0000-0000-00009B000000}"/>
    <cellStyle name="40% - Accent5 2 2" xfId="322" xr:uid="{00000000-0005-0000-0000-00009C000000}"/>
    <cellStyle name="40% - Accent5 2 3" xfId="524" xr:uid="{00000000-0005-0000-0000-00009D000000}"/>
    <cellStyle name="40% - Accent5 3" xfId="50" xr:uid="{00000000-0005-0000-0000-00009E000000}"/>
    <cellStyle name="40% - Accent5 3 2" xfId="323" xr:uid="{00000000-0005-0000-0000-00009F000000}"/>
    <cellStyle name="40% - Accent5 3 3" xfId="525" xr:uid="{00000000-0005-0000-0000-0000A0000000}"/>
    <cellStyle name="40% - Accent5 4" xfId="51" xr:uid="{00000000-0005-0000-0000-0000A1000000}"/>
    <cellStyle name="40% - Accent5 4 2" xfId="324" xr:uid="{00000000-0005-0000-0000-0000A2000000}"/>
    <cellStyle name="40% - Accent5 4 3" xfId="526" xr:uid="{00000000-0005-0000-0000-0000A3000000}"/>
    <cellStyle name="40% - Accent5 5" xfId="52" xr:uid="{00000000-0005-0000-0000-0000A4000000}"/>
    <cellStyle name="40% - Accent5 5 2" xfId="325" xr:uid="{00000000-0005-0000-0000-0000A5000000}"/>
    <cellStyle name="40% - Accent5 5 3" xfId="527" xr:uid="{00000000-0005-0000-0000-0000A6000000}"/>
    <cellStyle name="40% - Accent5 6" xfId="1621" xr:uid="{00000000-0005-0000-0000-0000A7000000}"/>
    <cellStyle name="40% - Accent5 7" xfId="2501" xr:uid="{00000000-0005-0000-0000-0000A8000000}"/>
    <cellStyle name="40% - Accent6" xfId="599" builtinId="51" customBuiltin="1"/>
    <cellStyle name="40% - Accent6 2" xfId="53" xr:uid="{00000000-0005-0000-0000-0000AA000000}"/>
    <cellStyle name="40% - Accent6 2 2" xfId="326" xr:uid="{00000000-0005-0000-0000-0000AB000000}"/>
    <cellStyle name="40% - Accent6 2 3" xfId="528" xr:uid="{00000000-0005-0000-0000-0000AC000000}"/>
    <cellStyle name="40% - Accent6 3" xfId="54" xr:uid="{00000000-0005-0000-0000-0000AD000000}"/>
    <cellStyle name="40% - Accent6 3 2" xfId="327" xr:uid="{00000000-0005-0000-0000-0000AE000000}"/>
    <cellStyle name="40% - Accent6 3 3" xfId="529" xr:uid="{00000000-0005-0000-0000-0000AF000000}"/>
    <cellStyle name="40% - Accent6 4" xfId="55" xr:uid="{00000000-0005-0000-0000-0000B0000000}"/>
    <cellStyle name="40% - Accent6 4 2" xfId="328" xr:uid="{00000000-0005-0000-0000-0000B1000000}"/>
    <cellStyle name="40% - Accent6 4 3" xfId="530" xr:uid="{00000000-0005-0000-0000-0000B2000000}"/>
    <cellStyle name="40% - Accent6 5" xfId="56" xr:uid="{00000000-0005-0000-0000-0000B3000000}"/>
    <cellStyle name="40% - Accent6 5 2" xfId="329" xr:uid="{00000000-0005-0000-0000-0000B4000000}"/>
    <cellStyle name="40% - Accent6 5 3" xfId="531" xr:uid="{00000000-0005-0000-0000-0000B5000000}"/>
    <cellStyle name="40% - Accent6 6" xfId="1622" xr:uid="{00000000-0005-0000-0000-0000B6000000}"/>
    <cellStyle name="40% - Accent6 7" xfId="2500" xr:uid="{00000000-0005-0000-0000-0000B7000000}"/>
    <cellStyle name="5 indents" xfId="57" xr:uid="{00000000-0005-0000-0000-0000B8000000}"/>
    <cellStyle name="60% - Accent1" xfId="580" builtinId="32" customBuiltin="1"/>
    <cellStyle name="60% - Accent1 2" xfId="330" xr:uid="{00000000-0005-0000-0000-0000BA000000}"/>
    <cellStyle name="60% - Accent2" xfId="584" builtinId="36" customBuiltin="1"/>
    <cellStyle name="60% - Accent2 2" xfId="331" xr:uid="{00000000-0005-0000-0000-0000BC000000}"/>
    <cellStyle name="60% - Accent3" xfId="588" builtinId="40" customBuiltin="1"/>
    <cellStyle name="60% - Accent3 2" xfId="332" xr:uid="{00000000-0005-0000-0000-0000BE000000}"/>
    <cellStyle name="60% - Accent4" xfId="592" builtinId="44" customBuiltin="1"/>
    <cellStyle name="60% - Accent4 2" xfId="333" xr:uid="{00000000-0005-0000-0000-0000C0000000}"/>
    <cellStyle name="60% - Accent5" xfId="596" builtinId="48" customBuiltin="1"/>
    <cellStyle name="60% - Accent5 2" xfId="334" xr:uid="{00000000-0005-0000-0000-0000C2000000}"/>
    <cellStyle name="60% - Accent6" xfId="600" builtinId="52" customBuiltin="1"/>
    <cellStyle name="60% - Accent6 2" xfId="335" xr:uid="{00000000-0005-0000-0000-0000C4000000}"/>
    <cellStyle name="Accent1" xfId="577" builtinId="29" customBuiltin="1"/>
    <cellStyle name="Accent1 2" xfId="336" xr:uid="{00000000-0005-0000-0000-0000C6000000}"/>
    <cellStyle name="Accent2" xfId="581" builtinId="33" customBuiltin="1"/>
    <cellStyle name="Accent2 2" xfId="337" xr:uid="{00000000-0005-0000-0000-0000C8000000}"/>
    <cellStyle name="Accent3" xfId="585" builtinId="37" customBuiltin="1"/>
    <cellStyle name="Accent3 2" xfId="338" xr:uid="{00000000-0005-0000-0000-0000CA000000}"/>
    <cellStyle name="Accent4" xfId="589" builtinId="41" customBuiltin="1"/>
    <cellStyle name="Accent4 2" xfId="339" xr:uid="{00000000-0005-0000-0000-0000CC000000}"/>
    <cellStyle name="Accent5" xfId="593" builtinId="45" customBuiltin="1"/>
    <cellStyle name="Accent5 2" xfId="340" xr:uid="{00000000-0005-0000-0000-0000CE000000}"/>
    <cellStyle name="Accent6" xfId="597" builtinId="49" customBuiltin="1"/>
    <cellStyle name="Accent6 2" xfId="58" xr:uid="{00000000-0005-0000-0000-0000D0000000}"/>
    <cellStyle name="ANCLAS,REZONES Y SUS PARTES,DE FUNDICION,DE HIERRO O DE ACERO" xfId="59" xr:uid="{00000000-0005-0000-0000-0000D1000000}"/>
    <cellStyle name="Bad" xfId="567" builtinId="27" customBuiltin="1"/>
    <cellStyle name="Bad 2" xfId="60" xr:uid="{00000000-0005-0000-0000-0000D3000000}"/>
    <cellStyle name="Bad 2 2" xfId="61" xr:uid="{00000000-0005-0000-0000-0000D4000000}"/>
    <cellStyle name="Bad 2 3" xfId="341" xr:uid="{00000000-0005-0000-0000-0000D5000000}"/>
    <cellStyle name="Calculation" xfId="571" builtinId="22" customBuiltin="1"/>
    <cellStyle name="Calculation 2" xfId="342" xr:uid="{00000000-0005-0000-0000-0000D7000000}"/>
    <cellStyle name="Check Cell" xfId="573" builtinId="23" customBuiltin="1"/>
    <cellStyle name="Check Cell 2" xfId="343" xr:uid="{00000000-0005-0000-0000-0000D9000000}"/>
    <cellStyle name="Comma" xfId="1" builtinId="3"/>
    <cellStyle name="Comma 10" xfId="210" xr:uid="{00000000-0005-0000-0000-0000DB000000}"/>
    <cellStyle name="Comma 10 2" xfId="344" xr:uid="{00000000-0005-0000-0000-0000DC000000}"/>
    <cellStyle name="Comma 10 2 2" xfId="1240" xr:uid="{00000000-0005-0000-0000-0000DD000000}"/>
    <cellStyle name="Comma 10 2 2 2" xfId="2689" xr:uid="{00000000-0005-0000-0000-0000DE000000}"/>
    <cellStyle name="Comma 10 2 3" xfId="1624" xr:uid="{00000000-0005-0000-0000-0000DF000000}"/>
    <cellStyle name="Comma 10 2 4" xfId="1239" xr:uid="{00000000-0005-0000-0000-0000E0000000}"/>
    <cellStyle name="Comma 10 2 5" xfId="2880" xr:uid="{00000000-0005-0000-0000-0000E1000000}"/>
    <cellStyle name="Comma 10 3" xfId="1241" xr:uid="{00000000-0005-0000-0000-0000E2000000}"/>
    <cellStyle name="Comma 10 3 2" xfId="2690" xr:uid="{00000000-0005-0000-0000-0000E3000000}"/>
    <cellStyle name="Comma 10 4" xfId="1623" xr:uid="{00000000-0005-0000-0000-0000E4000000}"/>
    <cellStyle name="Comma 10 5" xfId="1238" xr:uid="{00000000-0005-0000-0000-0000E5000000}"/>
    <cellStyle name="Comma 10 6" xfId="2879" xr:uid="{00000000-0005-0000-0000-0000E6000000}"/>
    <cellStyle name="Comma 11" xfId="209" xr:uid="{00000000-0005-0000-0000-0000E7000000}"/>
    <cellStyle name="Comma 11 10" xfId="1242" xr:uid="{00000000-0005-0000-0000-0000E8000000}"/>
    <cellStyle name="Comma 11 11" xfId="2881" xr:uid="{00000000-0005-0000-0000-0000E9000000}"/>
    <cellStyle name="Comma 11 2" xfId="346" xr:uid="{00000000-0005-0000-0000-0000EA000000}"/>
    <cellStyle name="Comma 11 2 2" xfId="1244" xr:uid="{00000000-0005-0000-0000-0000EB000000}"/>
    <cellStyle name="Comma 11 2 2 2" xfId="2691" xr:uid="{00000000-0005-0000-0000-0000EC000000}"/>
    <cellStyle name="Comma 11 2 3" xfId="1626" xr:uid="{00000000-0005-0000-0000-0000ED000000}"/>
    <cellStyle name="Comma 11 2 4" xfId="1243" xr:uid="{00000000-0005-0000-0000-0000EE000000}"/>
    <cellStyle name="Comma 11 2 5" xfId="2882" xr:uid="{00000000-0005-0000-0000-0000EF000000}"/>
    <cellStyle name="Comma 11 3" xfId="347" xr:uid="{00000000-0005-0000-0000-0000F0000000}"/>
    <cellStyle name="Comma 11 3 2" xfId="1246" xr:uid="{00000000-0005-0000-0000-0000F1000000}"/>
    <cellStyle name="Comma 11 3 2 2" xfId="2692" xr:uid="{00000000-0005-0000-0000-0000F2000000}"/>
    <cellStyle name="Comma 11 3 3" xfId="1627" xr:uid="{00000000-0005-0000-0000-0000F3000000}"/>
    <cellStyle name="Comma 11 3 4" xfId="1245" xr:uid="{00000000-0005-0000-0000-0000F4000000}"/>
    <cellStyle name="Comma 11 3 5" xfId="2883" xr:uid="{00000000-0005-0000-0000-0000F5000000}"/>
    <cellStyle name="Comma 11 4" xfId="348" xr:uid="{00000000-0005-0000-0000-0000F6000000}"/>
    <cellStyle name="Comma 11 4 2" xfId="349" xr:uid="{00000000-0005-0000-0000-0000F7000000}"/>
    <cellStyle name="Comma 11 4 2 2" xfId="1249" xr:uid="{00000000-0005-0000-0000-0000F8000000}"/>
    <cellStyle name="Comma 11 4 2 2 2" xfId="2693" xr:uid="{00000000-0005-0000-0000-0000F9000000}"/>
    <cellStyle name="Comma 11 4 2 3" xfId="1629" xr:uid="{00000000-0005-0000-0000-0000FA000000}"/>
    <cellStyle name="Comma 11 4 2 4" xfId="1248" xr:uid="{00000000-0005-0000-0000-0000FB000000}"/>
    <cellStyle name="Comma 11 4 2 5" xfId="2885" xr:uid="{00000000-0005-0000-0000-0000FC000000}"/>
    <cellStyle name="Comma 11 4 3" xfId="350" xr:uid="{00000000-0005-0000-0000-0000FD000000}"/>
    <cellStyle name="Comma 11 4 3 2" xfId="351" xr:uid="{00000000-0005-0000-0000-0000FE000000}"/>
    <cellStyle name="Comma 11 4 3 2 2" xfId="1252" xr:uid="{00000000-0005-0000-0000-0000FF000000}"/>
    <cellStyle name="Comma 11 4 3 2 2 2" xfId="2694" xr:uid="{00000000-0005-0000-0000-000000010000}"/>
    <cellStyle name="Comma 11 4 3 2 3" xfId="1631" xr:uid="{00000000-0005-0000-0000-000001010000}"/>
    <cellStyle name="Comma 11 4 3 2 4" xfId="1251" xr:uid="{00000000-0005-0000-0000-000002010000}"/>
    <cellStyle name="Comma 11 4 3 2 5" xfId="2887" xr:uid="{00000000-0005-0000-0000-000003010000}"/>
    <cellStyle name="Comma 11 4 3 3" xfId="1253" xr:uid="{00000000-0005-0000-0000-000004010000}"/>
    <cellStyle name="Comma 11 4 3 3 2" xfId="2695" xr:uid="{00000000-0005-0000-0000-000005010000}"/>
    <cellStyle name="Comma 11 4 3 4" xfId="1630" xr:uid="{00000000-0005-0000-0000-000006010000}"/>
    <cellStyle name="Comma 11 4 3 5" xfId="1250" xr:uid="{00000000-0005-0000-0000-000007010000}"/>
    <cellStyle name="Comma 11 4 3 6" xfId="2886" xr:uid="{00000000-0005-0000-0000-000008010000}"/>
    <cellStyle name="Comma 11 4 4" xfId="1254" xr:uid="{00000000-0005-0000-0000-000009010000}"/>
    <cellStyle name="Comma 11 4 4 2" xfId="2696" xr:uid="{00000000-0005-0000-0000-00000A010000}"/>
    <cellStyle name="Comma 11 4 5" xfId="1628" xr:uid="{00000000-0005-0000-0000-00000B010000}"/>
    <cellStyle name="Comma 11 4 6" xfId="1247" xr:uid="{00000000-0005-0000-0000-00000C010000}"/>
    <cellStyle name="Comma 11 4 7" xfId="2884" xr:uid="{00000000-0005-0000-0000-00000D010000}"/>
    <cellStyle name="Comma 11 5" xfId="352" xr:uid="{00000000-0005-0000-0000-00000E010000}"/>
    <cellStyle name="Comma 11 5 2" xfId="1256" xr:uid="{00000000-0005-0000-0000-00000F010000}"/>
    <cellStyle name="Comma 11 5 2 2" xfId="2697" xr:uid="{00000000-0005-0000-0000-000010010000}"/>
    <cellStyle name="Comma 11 5 3" xfId="1632" xr:uid="{00000000-0005-0000-0000-000011010000}"/>
    <cellStyle name="Comma 11 5 4" xfId="1255" xr:uid="{00000000-0005-0000-0000-000012010000}"/>
    <cellStyle name="Comma 11 5 5" xfId="2888" xr:uid="{00000000-0005-0000-0000-000013010000}"/>
    <cellStyle name="Comma 11 6" xfId="554" xr:uid="{00000000-0005-0000-0000-000014010000}"/>
    <cellStyle name="Comma 11 6 2" xfId="1258" xr:uid="{00000000-0005-0000-0000-000015010000}"/>
    <cellStyle name="Comma 11 6 2 2" xfId="2698" xr:uid="{00000000-0005-0000-0000-000016010000}"/>
    <cellStyle name="Comma 11 6 3" xfId="1633" xr:uid="{00000000-0005-0000-0000-000017010000}"/>
    <cellStyle name="Comma 11 6 4" xfId="1257" xr:uid="{00000000-0005-0000-0000-000018010000}"/>
    <cellStyle name="Comma 11 6 5" xfId="2889" xr:uid="{00000000-0005-0000-0000-000019010000}"/>
    <cellStyle name="Comma 11 7" xfId="345" xr:uid="{00000000-0005-0000-0000-00001A010000}"/>
    <cellStyle name="Comma 11 7 2" xfId="1260" xr:uid="{00000000-0005-0000-0000-00001B010000}"/>
    <cellStyle name="Comma 11 7 2 2" xfId="2699" xr:uid="{00000000-0005-0000-0000-00001C010000}"/>
    <cellStyle name="Comma 11 7 3" xfId="1634" xr:uid="{00000000-0005-0000-0000-00001D010000}"/>
    <cellStyle name="Comma 11 7 4" xfId="1259" xr:uid="{00000000-0005-0000-0000-00001E010000}"/>
    <cellStyle name="Comma 11 7 5" xfId="2890" xr:uid="{00000000-0005-0000-0000-00001F010000}"/>
    <cellStyle name="Comma 11 8" xfId="1261" xr:uid="{00000000-0005-0000-0000-000020010000}"/>
    <cellStyle name="Comma 11 8 2" xfId="2700" xr:uid="{00000000-0005-0000-0000-000021010000}"/>
    <cellStyle name="Comma 11 9" xfId="1625" xr:uid="{00000000-0005-0000-0000-000022010000}"/>
    <cellStyle name="Comma 12" xfId="353" xr:uid="{00000000-0005-0000-0000-000023010000}"/>
    <cellStyle name="Comma 12 2" xfId="354" xr:uid="{00000000-0005-0000-0000-000024010000}"/>
    <cellStyle name="Comma 12 2 2" xfId="355" xr:uid="{00000000-0005-0000-0000-000025010000}"/>
    <cellStyle name="Comma 12 2 2 2" xfId="356" xr:uid="{00000000-0005-0000-0000-000026010000}"/>
    <cellStyle name="Comma 12 2 2 2 2" xfId="1266" xr:uid="{00000000-0005-0000-0000-000027010000}"/>
    <cellStyle name="Comma 12 2 2 2 2 2" xfId="2701" xr:uid="{00000000-0005-0000-0000-000028010000}"/>
    <cellStyle name="Comma 12 2 2 2 3" xfId="1638" xr:uid="{00000000-0005-0000-0000-000029010000}"/>
    <cellStyle name="Comma 12 2 2 2 4" xfId="1265" xr:uid="{00000000-0005-0000-0000-00002A010000}"/>
    <cellStyle name="Comma 12 2 2 2 5" xfId="2894" xr:uid="{00000000-0005-0000-0000-00002B010000}"/>
    <cellStyle name="Comma 12 2 2 3" xfId="1267" xr:uid="{00000000-0005-0000-0000-00002C010000}"/>
    <cellStyle name="Comma 12 2 2 3 2" xfId="2702" xr:uid="{00000000-0005-0000-0000-00002D010000}"/>
    <cellStyle name="Comma 12 2 2 4" xfId="1637" xr:uid="{00000000-0005-0000-0000-00002E010000}"/>
    <cellStyle name="Comma 12 2 2 5" xfId="1264" xr:uid="{00000000-0005-0000-0000-00002F010000}"/>
    <cellStyle name="Comma 12 2 2 6" xfId="2893" xr:uid="{00000000-0005-0000-0000-000030010000}"/>
    <cellStyle name="Comma 12 2 3" xfId="1268" xr:uid="{00000000-0005-0000-0000-000031010000}"/>
    <cellStyle name="Comma 12 2 3 2" xfId="2703" xr:uid="{00000000-0005-0000-0000-000032010000}"/>
    <cellStyle name="Comma 12 2 4" xfId="1636" xr:uid="{00000000-0005-0000-0000-000033010000}"/>
    <cellStyle name="Comma 12 2 5" xfId="1263" xr:uid="{00000000-0005-0000-0000-000034010000}"/>
    <cellStyle name="Comma 12 2 6" xfId="2892" xr:uid="{00000000-0005-0000-0000-000035010000}"/>
    <cellStyle name="Comma 12 3" xfId="357" xr:uid="{00000000-0005-0000-0000-000036010000}"/>
    <cellStyle name="Comma 12 3 2" xfId="1270" xr:uid="{00000000-0005-0000-0000-000037010000}"/>
    <cellStyle name="Comma 12 3 2 2" xfId="2704" xr:uid="{00000000-0005-0000-0000-000038010000}"/>
    <cellStyle name="Comma 12 3 3" xfId="1639" xr:uid="{00000000-0005-0000-0000-000039010000}"/>
    <cellStyle name="Comma 12 3 4" xfId="1269" xr:uid="{00000000-0005-0000-0000-00003A010000}"/>
    <cellStyle name="Comma 12 3 5" xfId="2895" xr:uid="{00000000-0005-0000-0000-00003B010000}"/>
    <cellStyle name="Comma 12 4" xfId="1271" xr:uid="{00000000-0005-0000-0000-00003C010000}"/>
    <cellStyle name="Comma 12 4 2" xfId="2705" xr:uid="{00000000-0005-0000-0000-00003D010000}"/>
    <cellStyle name="Comma 12 5" xfId="1635" xr:uid="{00000000-0005-0000-0000-00003E010000}"/>
    <cellStyle name="Comma 12 6" xfId="1262" xr:uid="{00000000-0005-0000-0000-00003F010000}"/>
    <cellStyle name="Comma 12 7" xfId="2891" xr:uid="{00000000-0005-0000-0000-000040010000}"/>
    <cellStyle name="Comma 13" xfId="62" xr:uid="{00000000-0005-0000-0000-000041010000}"/>
    <cellStyle name="Comma 13 2" xfId="63" xr:uid="{00000000-0005-0000-0000-000042010000}"/>
    <cellStyle name="Comma 14" xfId="358" xr:uid="{00000000-0005-0000-0000-000043010000}"/>
    <cellStyle name="Comma 14 2" xfId="359" xr:uid="{00000000-0005-0000-0000-000044010000}"/>
    <cellStyle name="Comma 14 2 2" xfId="1274" xr:uid="{00000000-0005-0000-0000-000045010000}"/>
    <cellStyle name="Comma 14 2 2 2" xfId="2706" xr:uid="{00000000-0005-0000-0000-000046010000}"/>
    <cellStyle name="Comma 14 2 3" xfId="1641" xr:uid="{00000000-0005-0000-0000-000047010000}"/>
    <cellStyle name="Comma 14 2 4" xfId="1273" xr:uid="{00000000-0005-0000-0000-000048010000}"/>
    <cellStyle name="Comma 14 2 5" xfId="2897" xr:uid="{00000000-0005-0000-0000-000049010000}"/>
    <cellStyle name="Comma 14 3" xfId="1275" xr:uid="{00000000-0005-0000-0000-00004A010000}"/>
    <cellStyle name="Comma 14 3 2" xfId="2707" xr:uid="{00000000-0005-0000-0000-00004B010000}"/>
    <cellStyle name="Comma 14 4" xfId="1640" xr:uid="{00000000-0005-0000-0000-00004C010000}"/>
    <cellStyle name="Comma 14 5" xfId="1272" xr:uid="{00000000-0005-0000-0000-00004D010000}"/>
    <cellStyle name="Comma 14 6" xfId="2896" xr:uid="{00000000-0005-0000-0000-00004E010000}"/>
    <cellStyle name="Comma 15" xfId="64" xr:uid="{00000000-0005-0000-0000-00004F010000}"/>
    <cellStyle name="Comma 16" xfId="360" xr:uid="{00000000-0005-0000-0000-000050010000}"/>
    <cellStyle name="Comma 16 2" xfId="361" xr:uid="{00000000-0005-0000-0000-000051010000}"/>
    <cellStyle name="Comma 16 3" xfId="362" xr:uid="{00000000-0005-0000-0000-000052010000}"/>
    <cellStyle name="Comma 16 3 2" xfId="1278" xr:uid="{00000000-0005-0000-0000-000053010000}"/>
    <cellStyle name="Comma 16 3 2 2" xfId="2708" xr:uid="{00000000-0005-0000-0000-000054010000}"/>
    <cellStyle name="Comma 16 3 3" xfId="1643" xr:uid="{00000000-0005-0000-0000-000055010000}"/>
    <cellStyle name="Comma 16 3 4" xfId="1277" xr:uid="{00000000-0005-0000-0000-000056010000}"/>
    <cellStyle name="Comma 16 3 5" xfId="2899" xr:uid="{00000000-0005-0000-0000-000057010000}"/>
    <cellStyle name="Comma 16 4" xfId="1279" xr:uid="{00000000-0005-0000-0000-000058010000}"/>
    <cellStyle name="Comma 16 4 2" xfId="2709" xr:uid="{00000000-0005-0000-0000-000059010000}"/>
    <cellStyle name="Comma 16 5" xfId="1642" xr:uid="{00000000-0005-0000-0000-00005A010000}"/>
    <cellStyle name="Comma 16 6" xfId="1276" xr:uid="{00000000-0005-0000-0000-00005B010000}"/>
    <cellStyle name="Comma 16 7" xfId="2898" xr:uid="{00000000-0005-0000-0000-00005C010000}"/>
    <cellStyle name="Comma 17" xfId="363" xr:uid="{00000000-0005-0000-0000-00005D010000}"/>
    <cellStyle name="Comma 17 2" xfId="1281" xr:uid="{00000000-0005-0000-0000-00005E010000}"/>
    <cellStyle name="Comma 17 2 2" xfId="2710" xr:uid="{00000000-0005-0000-0000-00005F010000}"/>
    <cellStyle name="Comma 17 3" xfId="1644" xr:uid="{00000000-0005-0000-0000-000060010000}"/>
    <cellStyle name="Comma 17 4" xfId="1280" xr:uid="{00000000-0005-0000-0000-000061010000}"/>
    <cellStyle name="Comma 17 5" xfId="2900" xr:uid="{00000000-0005-0000-0000-000062010000}"/>
    <cellStyle name="Comma 18" xfId="364" xr:uid="{00000000-0005-0000-0000-000063010000}"/>
    <cellStyle name="Comma 18 2" xfId="1283" xr:uid="{00000000-0005-0000-0000-000064010000}"/>
    <cellStyle name="Comma 18 2 2" xfId="2711" xr:uid="{00000000-0005-0000-0000-000065010000}"/>
    <cellStyle name="Comma 18 3" xfId="1645" xr:uid="{00000000-0005-0000-0000-000066010000}"/>
    <cellStyle name="Comma 18 4" xfId="1282" xr:uid="{00000000-0005-0000-0000-000067010000}"/>
    <cellStyle name="Comma 18 5" xfId="2901" xr:uid="{00000000-0005-0000-0000-000068010000}"/>
    <cellStyle name="Comma 19" xfId="365" xr:uid="{00000000-0005-0000-0000-000069010000}"/>
    <cellStyle name="Comma 2" xfId="65" xr:uid="{00000000-0005-0000-0000-00006A010000}"/>
    <cellStyle name="Comma 2 10" xfId="532" xr:uid="{00000000-0005-0000-0000-00006B010000}"/>
    <cellStyle name="Comma 2 11" xfId="702" xr:uid="{00000000-0005-0000-0000-00006C010000}"/>
    <cellStyle name="Comma 2 11 2" xfId="1286" xr:uid="{00000000-0005-0000-0000-00006D010000}"/>
    <cellStyle name="Comma 2 11 2 2" xfId="2712" xr:uid="{00000000-0005-0000-0000-00006E010000}"/>
    <cellStyle name="Comma 2 11 3" xfId="1647" xr:uid="{00000000-0005-0000-0000-00006F010000}"/>
    <cellStyle name="Comma 2 11 3 2" xfId="2499" xr:uid="{00000000-0005-0000-0000-000070010000}"/>
    <cellStyle name="Comma 2 11 3 3" xfId="2660" xr:uid="{00000000-0005-0000-0000-000071010000}"/>
    <cellStyle name="Comma 2 11 4" xfId="1285" xr:uid="{00000000-0005-0000-0000-000072010000}"/>
    <cellStyle name="Comma 2 11 5" xfId="2902" xr:uid="{00000000-0005-0000-0000-000073010000}"/>
    <cellStyle name="Comma 2 12" xfId="1184" xr:uid="{00000000-0005-0000-0000-000074010000}"/>
    <cellStyle name="Comma 2 13" xfId="1646" xr:uid="{00000000-0005-0000-0000-000075010000}"/>
    <cellStyle name="Comma 2 14" xfId="1284" xr:uid="{00000000-0005-0000-0000-000076010000}"/>
    <cellStyle name="Comma 2 2" xfId="66" xr:uid="{00000000-0005-0000-0000-000077010000}"/>
    <cellStyle name="Comma 2 2 2" xfId="173" xr:uid="{00000000-0005-0000-0000-000078010000}"/>
    <cellStyle name="Comma 2 2 2 2" xfId="548" xr:uid="{00000000-0005-0000-0000-000079010000}"/>
    <cellStyle name="Comma 2 2 2 3" xfId="366" xr:uid="{00000000-0005-0000-0000-00007A010000}"/>
    <cellStyle name="Comma 2 2 2 4" xfId="707" xr:uid="{00000000-0005-0000-0000-00007B010000}"/>
    <cellStyle name="Comma 2 2 3" xfId="174" xr:uid="{00000000-0005-0000-0000-00007C010000}"/>
    <cellStyle name="Comma 2 2 3 2" xfId="706" xr:uid="{00000000-0005-0000-0000-00007D010000}"/>
    <cellStyle name="Comma 2 2 4" xfId="705" xr:uid="{00000000-0005-0000-0000-00007E010000}"/>
    <cellStyle name="Comma 2 3" xfId="67" xr:uid="{00000000-0005-0000-0000-00007F010000}"/>
    <cellStyle name="Comma 2 3 2" xfId="175" xr:uid="{00000000-0005-0000-0000-000080010000}"/>
    <cellStyle name="Comma 2 3 3" xfId="2553" xr:uid="{00000000-0005-0000-0000-000081010000}"/>
    <cellStyle name="Comma 2 4" xfId="68" xr:uid="{00000000-0005-0000-0000-000082010000}"/>
    <cellStyle name="Comma 2 5" xfId="69" xr:uid="{00000000-0005-0000-0000-000083010000}"/>
    <cellStyle name="Comma 2 6" xfId="70" xr:uid="{00000000-0005-0000-0000-000084010000}"/>
    <cellStyle name="Comma 2 7" xfId="71" xr:uid="{00000000-0005-0000-0000-000085010000}"/>
    <cellStyle name="Comma 2 7 2" xfId="367" xr:uid="{00000000-0005-0000-0000-000086010000}"/>
    <cellStyle name="Comma 2 7 2 2" xfId="1289" xr:uid="{00000000-0005-0000-0000-000087010000}"/>
    <cellStyle name="Comma 2 7 2 2 2" xfId="2713" xr:uid="{00000000-0005-0000-0000-000088010000}"/>
    <cellStyle name="Comma 2 7 2 3" xfId="1649" xr:uid="{00000000-0005-0000-0000-000089010000}"/>
    <cellStyle name="Comma 2 7 2 4" xfId="1288" xr:uid="{00000000-0005-0000-0000-00008A010000}"/>
    <cellStyle name="Comma 2 7 2 5" xfId="2904" xr:uid="{00000000-0005-0000-0000-00008B010000}"/>
    <cellStyle name="Comma 2 7 3" xfId="1290" xr:uid="{00000000-0005-0000-0000-00008C010000}"/>
    <cellStyle name="Comma 2 7 3 2" xfId="2714" xr:uid="{00000000-0005-0000-0000-00008D010000}"/>
    <cellStyle name="Comma 2 7 4" xfId="1648" xr:uid="{00000000-0005-0000-0000-00008E010000}"/>
    <cellStyle name="Comma 2 7 5" xfId="1287" xr:uid="{00000000-0005-0000-0000-00008F010000}"/>
    <cellStyle name="Comma 2 7 6" xfId="2903" xr:uid="{00000000-0005-0000-0000-000090010000}"/>
    <cellStyle name="Comma 2 8" xfId="72" xr:uid="{00000000-0005-0000-0000-000091010000}"/>
    <cellStyle name="Comma 2 9" xfId="222" xr:uid="{00000000-0005-0000-0000-000092010000}"/>
    <cellStyle name="Comma 20" xfId="368" xr:uid="{00000000-0005-0000-0000-000093010000}"/>
    <cellStyle name="Comma 20 2" xfId="369" xr:uid="{00000000-0005-0000-0000-000094010000}"/>
    <cellStyle name="Comma 20 2 2" xfId="1293" xr:uid="{00000000-0005-0000-0000-000095010000}"/>
    <cellStyle name="Comma 20 2 2 2" xfId="2715" xr:uid="{00000000-0005-0000-0000-000096010000}"/>
    <cellStyle name="Comma 20 2 3" xfId="1651" xr:uid="{00000000-0005-0000-0000-000097010000}"/>
    <cellStyle name="Comma 20 2 4" xfId="1292" xr:uid="{00000000-0005-0000-0000-000098010000}"/>
    <cellStyle name="Comma 20 2 5" xfId="2906" xr:uid="{00000000-0005-0000-0000-000099010000}"/>
    <cellStyle name="Comma 20 3" xfId="1294" xr:uid="{00000000-0005-0000-0000-00009A010000}"/>
    <cellStyle name="Comma 20 3 2" xfId="2716" xr:uid="{00000000-0005-0000-0000-00009B010000}"/>
    <cellStyle name="Comma 20 4" xfId="1650" xr:uid="{00000000-0005-0000-0000-00009C010000}"/>
    <cellStyle name="Comma 20 5" xfId="1291" xr:uid="{00000000-0005-0000-0000-00009D010000}"/>
    <cellStyle name="Comma 20 6" xfId="2905" xr:uid="{00000000-0005-0000-0000-00009E010000}"/>
    <cellStyle name="Comma 21" xfId="370" xr:uid="{00000000-0005-0000-0000-00009F010000}"/>
    <cellStyle name="Comma 21 2" xfId="1296" xr:uid="{00000000-0005-0000-0000-0000A0010000}"/>
    <cellStyle name="Comma 21 2 2" xfId="2717" xr:uid="{00000000-0005-0000-0000-0000A1010000}"/>
    <cellStyle name="Comma 21 3" xfId="1652" xr:uid="{00000000-0005-0000-0000-0000A2010000}"/>
    <cellStyle name="Comma 21 4" xfId="1295" xr:uid="{00000000-0005-0000-0000-0000A3010000}"/>
    <cellStyle name="Comma 21 5" xfId="2907" xr:uid="{00000000-0005-0000-0000-0000A4010000}"/>
    <cellStyle name="Comma 22" xfId="371" xr:uid="{00000000-0005-0000-0000-0000A5010000}"/>
    <cellStyle name="Comma 22 2" xfId="372" xr:uid="{00000000-0005-0000-0000-0000A6010000}"/>
    <cellStyle name="Comma 22 2 2" xfId="373" xr:uid="{00000000-0005-0000-0000-0000A7010000}"/>
    <cellStyle name="Comma 22 2 2 2" xfId="1300" xr:uid="{00000000-0005-0000-0000-0000A8010000}"/>
    <cellStyle name="Comma 22 2 2 2 2" xfId="2718" xr:uid="{00000000-0005-0000-0000-0000A9010000}"/>
    <cellStyle name="Comma 22 2 2 3" xfId="1655" xr:uid="{00000000-0005-0000-0000-0000AA010000}"/>
    <cellStyle name="Comma 22 2 2 4" xfId="1299" xr:uid="{00000000-0005-0000-0000-0000AB010000}"/>
    <cellStyle name="Comma 22 2 2 5" xfId="2910" xr:uid="{00000000-0005-0000-0000-0000AC010000}"/>
    <cellStyle name="Comma 22 2 3" xfId="374" xr:uid="{00000000-0005-0000-0000-0000AD010000}"/>
    <cellStyle name="Comma 22 2 3 2" xfId="1302" xr:uid="{00000000-0005-0000-0000-0000AE010000}"/>
    <cellStyle name="Comma 22 2 3 2 2" xfId="2719" xr:uid="{00000000-0005-0000-0000-0000AF010000}"/>
    <cellStyle name="Comma 22 2 3 3" xfId="1656" xr:uid="{00000000-0005-0000-0000-0000B0010000}"/>
    <cellStyle name="Comma 22 2 3 4" xfId="1301" xr:uid="{00000000-0005-0000-0000-0000B1010000}"/>
    <cellStyle name="Comma 22 2 3 5" xfId="2911" xr:uid="{00000000-0005-0000-0000-0000B2010000}"/>
    <cellStyle name="Comma 22 2 4" xfId="1303" xr:uid="{00000000-0005-0000-0000-0000B3010000}"/>
    <cellStyle name="Comma 22 2 4 2" xfId="2720" xr:uid="{00000000-0005-0000-0000-0000B4010000}"/>
    <cellStyle name="Comma 22 2 5" xfId="1654" xr:uid="{00000000-0005-0000-0000-0000B5010000}"/>
    <cellStyle name="Comma 22 2 6" xfId="1298" xr:uid="{00000000-0005-0000-0000-0000B6010000}"/>
    <cellStyle name="Comma 22 2 7" xfId="2909" xr:uid="{00000000-0005-0000-0000-0000B7010000}"/>
    <cellStyle name="Comma 22 3" xfId="375" xr:uid="{00000000-0005-0000-0000-0000B8010000}"/>
    <cellStyle name="Comma 22 3 2" xfId="376" xr:uid="{00000000-0005-0000-0000-0000B9010000}"/>
    <cellStyle name="Comma 22 3 2 2" xfId="1306" xr:uid="{00000000-0005-0000-0000-0000BA010000}"/>
    <cellStyle name="Comma 22 3 2 2 2" xfId="2721" xr:uid="{00000000-0005-0000-0000-0000BB010000}"/>
    <cellStyle name="Comma 22 3 2 3" xfId="1658" xr:uid="{00000000-0005-0000-0000-0000BC010000}"/>
    <cellStyle name="Comma 22 3 2 4" xfId="1305" xr:uid="{00000000-0005-0000-0000-0000BD010000}"/>
    <cellStyle name="Comma 22 3 2 5" xfId="2913" xr:uid="{00000000-0005-0000-0000-0000BE010000}"/>
    <cellStyle name="Comma 22 3 3" xfId="1307" xr:uid="{00000000-0005-0000-0000-0000BF010000}"/>
    <cellStyle name="Comma 22 3 3 2" xfId="2722" xr:uid="{00000000-0005-0000-0000-0000C0010000}"/>
    <cellStyle name="Comma 22 3 4" xfId="1657" xr:uid="{00000000-0005-0000-0000-0000C1010000}"/>
    <cellStyle name="Comma 22 3 5" xfId="1304" xr:uid="{00000000-0005-0000-0000-0000C2010000}"/>
    <cellStyle name="Comma 22 3 6" xfId="2912" xr:uid="{00000000-0005-0000-0000-0000C3010000}"/>
    <cellStyle name="Comma 22 4" xfId="1308" xr:uid="{00000000-0005-0000-0000-0000C4010000}"/>
    <cellStyle name="Comma 22 4 2" xfId="2723" xr:uid="{00000000-0005-0000-0000-0000C5010000}"/>
    <cellStyle name="Comma 22 5" xfId="1653" xr:uid="{00000000-0005-0000-0000-0000C6010000}"/>
    <cellStyle name="Comma 22 6" xfId="1297" xr:uid="{00000000-0005-0000-0000-0000C7010000}"/>
    <cellStyle name="Comma 22 7" xfId="2908" xr:uid="{00000000-0005-0000-0000-0000C8010000}"/>
    <cellStyle name="Comma 23" xfId="377" xr:uid="{00000000-0005-0000-0000-0000C9010000}"/>
    <cellStyle name="Comma 23 2" xfId="1310" xr:uid="{00000000-0005-0000-0000-0000CA010000}"/>
    <cellStyle name="Comma 23 2 2" xfId="2724" xr:uid="{00000000-0005-0000-0000-0000CB010000}"/>
    <cellStyle name="Comma 23 3" xfId="1659" xr:uid="{00000000-0005-0000-0000-0000CC010000}"/>
    <cellStyle name="Comma 23 4" xfId="1309" xr:uid="{00000000-0005-0000-0000-0000CD010000}"/>
    <cellStyle name="Comma 23 5" xfId="2914" xr:uid="{00000000-0005-0000-0000-0000CE010000}"/>
    <cellStyle name="Comma 24" xfId="378" xr:uid="{00000000-0005-0000-0000-0000CF010000}"/>
    <cellStyle name="Comma 24 2" xfId="1312" xr:uid="{00000000-0005-0000-0000-0000D0010000}"/>
    <cellStyle name="Comma 24 2 2" xfId="2725" xr:uid="{00000000-0005-0000-0000-0000D1010000}"/>
    <cellStyle name="Comma 24 3" xfId="1660" xr:uid="{00000000-0005-0000-0000-0000D2010000}"/>
    <cellStyle name="Comma 24 4" xfId="1311" xr:uid="{00000000-0005-0000-0000-0000D3010000}"/>
    <cellStyle name="Comma 24 5" xfId="2915" xr:uid="{00000000-0005-0000-0000-0000D4010000}"/>
    <cellStyle name="Comma 25" xfId="942" xr:uid="{00000000-0005-0000-0000-0000D5010000}"/>
    <cellStyle name="Comma 25 2" xfId="1314" xr:uid="{00000000-0005-0000-0000-0000D6010000}"/>
    <cellStyle name="Comma 25 2 2" xfId="2726" xr:uid="{00000000-0005-0000-0000-0000D7010000}"/>
    <cellStyle name="Comma 25 3" xfId="1661" xr:uid="{00000000-0005-0000-0000-0000D8010000}"/>
    <cellStyle name="Comma 25 4" xfId="1313" xr:uid="{00000000-0005-0000-0000-0000D9010000}"/>
    <cellStyle name="Comma 25 5" xfId="2916" xr:uid="{00000000-0005-0000-0000-0000DA010000}"/>
    <cellStyle name="Comma 26" xfId="1315" xr:uid="{00000000-0005-0000-0000-0000DB010000}"/>
    <cellStyle name="Comma 26 2" xfId="1316" xr:uid="{00000000-0005-0000-0000-0000DC010000}"/>
    <cellStyle name="Comma 26 2 2" xfId="2727" xr:uid="{00000000-0005-0000-0000-0000DD010000}"/>
    <cellStyle name="Comma 26 3" xfId="1662" xr:uid="{00000000-0005-0000-0000-0000DE010000}"/>
    <cellStyle name="Comma 26 4" xfId="2498" xr:uid="{00000000-0005-0000-0000-0000DF010000}"/>
    <cellStyle name="Comma 26 4 2" xfId="2917" xr:uid="{00000000-0005-0000-0000-0000E0010000}"/>
    <cellStyle name="Comma 26 5" xfId="2519" xr:uid="{00000000-0005-0000-0000-0000E1010000}"/>
    <cellStyle name="Comma 26 6" xfId="2552" xr:uid="{00000000-0005-0000-0000-0000E2010000}"/>
    <cellStyle name="Comma 27" xfId="1317" xr:uid="{00000000-0005-0000-0000-0000E3010000}"/>
    <cellStyle name="Comma 27 2" xfId="1318" xr:uid="{00000000-0005-0000-0000-0000E4010000}"/>
    <cellStyle name="Comma 27 3" xfId="1663" xr:uid="{00000000-0005-0000-0000-0000E5010000}"/>
    <cellStyle name="Comma 27 3 2" xfId="2729" xr:uid="{00000000-0005-0000-0000-0000E6010000}"/>
    <cellStyle name="Comma 27 4" xfId="2497" xr:uid="{00000000-0005-0000-0000-0000E7010000}"/>
    <cellStyle name="Comma 27 5" xfId="2728" xr:uid="{00000000-0005-0000-0000-0000E8010000}"/>
    <cellStyle name="Comma 3" xfId="73" xr:uid="{00000000-0005-0000-0000-0000E9010000}"/>
    <cellStyle name="Comma 3 2" xfId="74" xr:uid="{00000000-0005-0000-0000-0000EA010000}"/>
    <cellStyle name="Comma 3 2 2" xfId="75" xr:uid="{00000000-0005-0000-0000-0000EB010000}"/>
    <cellStyle name="Comma 3 3" xfId="76" xr:uid="{00000000-0005-0000-0000-0000EC010000}"/>
    <cellStyle name="Comma 3 3 2" xfId="379" xr:uid="{00000000-0005-0000-0000-0000ED010000}"/>
    <cellStyle name="Comma 3 4" xfId="176" xr:uid="{00000000-0005-0000-0000-0000EE010000}"/>
    <cellStyle name="Comma 3 4 2" xfId="380" xr:uid="{00000000-0005-0000-0000-0000EF010000}"/>
    <cellStyle name="Comma 3 4 3" xfId="549" xr:uid="{00000000-0005-0000-0000-0000F0010000}"/>
    <cellStyle name="Comma 3 5" xfId="381" xr:uid="{00000000-0005-0000-0000-0000F1010000}"/>
    <cellStyle name="Comma 3 6" xfId="1007" xr:uid="{00000000-0005-0000-0000-0000F2010000}"/>
    <cellStyle name="Comma 3 6 2" xfId="1320" xr:uid="{00000000-0005-0000-0000-0000F3010000}"/>
    <cellStyle name="Comma 3 6 2 2" xfId="2730" xr:uid="{00000000-0005-0000-0000-0000F4010000}"/>
    <cellStyle name="Comma 3 6 3" xfId="1664" xr:uid="{00000000-0005-0000-0000-0000F5010000}"/>
    <cellStyle name="Comma 3 6 4" xfId="1319" xr:uid="{00000000-0005-0000-0000-0000F6010000}"/>
    <cellStyle name="Comma 3 6 5" xfId="2918" xr:uid="{00000000-0005-0000-0000-0000F7010000}"/>
    <cellStyle name="Comma 4" xfId="77" xr:uid="{00000000-0005-0000-0000-0000F8010000}"/>
    <cellStyle name="Comma 4 2" xfId="78" xr:uid="{00000000-0005-0000-0000-0000F9010000}"/>
    <cellStyle name="Comma 4 3" xfId="177" xr:uid="{00000000-0005-0000-0000-0000FA010000}"/>
    <cellStyle name="Comma 4 4" xfId="704" xr:uid="{00000000-0005-0000-0000-0000FB010000}"/>
    <cellStyle name="Comma 4 5" xfId="703" xr:uid="{00000000-0005-0000-0000-0000FC010000}"/>
    <cellStyle name="Comma 4 6" xfId="1003" xr:uid="{00000000-0005-0000-0000-0000FD010000}"/>
    <cellStyle name="Comma 4 7" xfId="1185" xr:uid="{00000000-0005-0000-0000-0000FE010000}"/>
    <cellStyle name="Comma 4_Book2" xfId="79" xr:uid="{00000000-0005-0000-0000-0000FF010000}"/>
    <cellStyle name="Comma 5" xfId="80" xr:uid="{00000000-0005-0000-0000-000000020000}"/>
    <cellStyle name="Comma 5 2" xfId="81" xr:uid="{00000000-0005-0000-0000-000001020000}"/>
    <cellStyle name="Comma 5 3" xfId="82" xr:uid="{00000000-0005-0000-0000-000002020000}"/>
    <cellStyle name="Comma 5 4" xfId="382" xr:uid="{00000000-0005-0000-0000-000003020000}"/>
    <cellStyle name="Comma 6" xfId="83" xr:uid="{00000000-0005-0000-0000-000004020000}"/>
    <cellStyle name="Comma 6 2" xfId="383" xr:uid="{00000000-0005-0000-0000-000005020000}"/>
    <cellStyle name="Comma 6 2 2" xfId="384" xr:uid="{00000000-0005-0000-0000-000006020000}"/>
    <cellStyle name="Comma 6 2 2 2" xfId="1322" xr:uid="{00000000-0005-0000-0000-000007020000}"/>
    <cellStyle name="Comma 6 2 2 2 2" xfId="2731" xr:uid="{00000000-0005-0000-0000-000008020000}"/>
    <cellStyle name="Comma 6 2 2 3" xfId="1665" xr:uid="{00000000-0005-0000-0000-000009020000}"/>
    <cellStyle name="Comma 6 2 2 4" xfId="1321" xr:uid="{00000000-0005-0000-0000-00000A020000}"/>
    <cellStyle name="Comma 6 2 2 5" xfId="2919" xr:uid="{00000000-0005-0000-0000-00000B020000}"/>
    <cellStyle name="Comma 6 3" xfId="385" xr:uid="{00000000-0005-0000-0000-00000C020000}"/>
    <cellStyle name="Comma 6 3 2" xfId="1324" xr:uid="{00000000-0005-0000-0000-00000D020000}"/>
    <cellStyle name="Comma 6 3 2 2" xfId="2732" xr:uid="{00000000-0005-0000-0000-00000E020000}"/>
    <cellStyle name="Comma 6 3 3" xfId="1666" xr:uid="{00000000-0005-0000-0000-00000F020000}"/>
    <cellStyle name="Comma 6 3 4" xfId="1323" xr:uid="{00000000-0005-0000-0000-000010020000}"/>
    <cellStyle name="Comma 6 3 5" xfId="2920" xr:uid="{00000000-0005-0000-0000-000011020000}"/>
    <cellStyle name="Comma 7" xfId="84" xr:uid="{00000000-0005-0000-0000-000012020000}"/>
    <cellStyle name="Comma 7 2" xfId="85" xr:uid="{00000000-0005-0000-0000-000013020000}"/>
    <cellStyle name="Comma 7 2 2" xfId="386" xr:uid="{00000000-0005-0000-0000-000014020000}"/>
    <cellStyle name="Comma 7 2 2 2" xfId="387" xr:uid="{00000000-0005-0000-0000-000015020000}"/>
    <cellStyle name="Comma 7 2 2 2 2" xfId="388" xr:uid="{00000000-0005-0000-0000-000016020000}"/>
    <cellStyle name="Comma 7 2 2 2 2 2" xfId="1329" xr:uid="{00000000-0005-0000-0000-000017020000}"/>
    <cellStyle name="Comma 7 2 2 2 2 2 2" xfId="2733" xr:uid="{00000000-0005-0000-0000-000018020000}"/>
    <cellStyle name="Comma 7 2 2 2 2 3" xfId="1670" xr:uid="{00000000-0005-0000-0000-000019020000}"/>
    <cellStyle name="Comma 7 2 2 2 2 4" xfId="1328" xr:uid="{00000000-0005-0000-0000-00001A020000}"/>
    <cellStyle name="Comma 7 2 2 2 2 5" xfId="2924" xr:uid="{00000000-0005-0000-0000-00001B020000}"/>
    <cellStyle name="Comma 7 2 2 2 3" xfId="1330" xr:uid="{00000000-0005-0000-0000-00001C020000}"/>
    <cellStyle name="Comma 7 2 2 2 3 2" xfId="2734" xr:uid="{00000000-0005-0000-0000-00001D020000}"/>
    <cellStyle name="Comma 7 2 2 2 4" xfId="1669" xr:uid="{00000000-0005-0000-0000-00001E020000}"/>
    <cellStyle name="Comma 7 2 2 2 5" xfId="1327" xr:uid="{00000000-0005-0000-0000-00001F020000}"/>
    <cellStyle name="Comma 7 2 2 2 6" xfId="2923" xr:uid="{00000000-0005-0000-0000-000020020000}"/>
    <cellStyle name="Comma 7 2 2 3" xfId="389" xr:uid="{00000000-0005-0000-0000-000021020000}"/>
    <cellStyle name="Comma 7 2 2 3 2" xfId="390" xr:uid="{00000000-0005-0000-0000-000022020000}"/>
    <cellStyle name="Comma 7 2 2 3 2 2" xfId="1333" xr:uid="{00000000-0005-0000-0000-000023020000}"/>
    <cellStyle name="Comma 7 2 2 3 2 2 2" xfId="2735" xr:uid="{00000000-0005-0000-0000-000024020000}"/>
    <cellStyle name="Comma 7 2 2 3 2 3" xfId="1672" xr:uid="{00000000-0005-0000-0000-000025020000}"/>
    <cellStyle name="Comma 7 2 2 3 2 4" xfId="1332" xr:uid="{00000000-0005-0000-0000-000026020000}"/>
    <cellStyle name="Comma 7 2 2 3 2 5" xfId="2926" xr:uid="{00000000-0005-0000-0000-000027020000}"/>
    <cellStyle name="Comma 7 2 2 3 3" xfId="1334" xr:uid="{00000000-0005-0000-0000-000028020000}"/>
    <cellStyle name="Comma 7 2 2 3 3 2" xfId="2736" xr:uid="{00000000-0005-0000-0000-000029020000}"/>
    <cellStyle name="Comma 7 2 2 3 4" xfId="1671" xr:uid="{00000000-0005-0000-0000-00002A020000}"/>
    <cellStyle name="Comma 7 2 2 3 5" xfId="1331" xr:uid="{00000000-0005-0000-0000-00002B020000}"/>
    <cellStyle name="Comma 7 2 2 3 6" xfId="2925" xr:uid="{00000000-0005-0000-0000-00002C020000}"/>
    <cellStyle name="Comma 7 2 2 4" xfId="391" xr:uid="{00000000-0005-0000-0000-00002D020000}"/>
    <cellStyle name="Comma 7 2 2 4 2" xfId="1336" xr:uid="{00000000-0005-0000-0000-00002E020000}"/>
    <cellStyle name="Comma 7 2 2 4 2 2" xfId="2737" xr:uid="{00000000-0005-0000-0000-00002F020000}"/>
    <cellStyle name="Comma 7 2 2 4 3" xfId="1673" xr:uid="{00000000-0005-0000-0000-000030020000}"/>
    <cellStyle name="Comma 7 2 2 4 4" xfId="1335" xr:uid="{00000000-0005-0000-0000-000031020000}"/>
    <cellStyle name="Comma 7 2 2 4 5" xfId="2927" xr:uid="{00000000-0005-0000-0000-000032020000}"/>
    <cellStyle name="Comma 7 2 2 5" xfId="1337" xr:uid="{00000000-0005-0000-0000-000033020000}"/>
    <cellStyle name="Comma 7 2 2 5 2" xfId="2738" xr:uid="{00000000-0005-0000-0000-000034020000}"/>
    <cellStyle name="Comma 7 2 2 6" xfId="1668" xr:uid="{00000000-0005-0000-0000-000035020000}"/>
    <cellStyle name="Comma 7 2 2 7" xfId="1326" xr:uid="{00000000-0005-0000-0000-000036020000}"/>
    <cellStyle name="Comma 7 2 2 8" xfId="2922" xr:uid="{00000000-0005-0000-0000-000037020000}"/>
    <cellStyle name="Comma 7 2 3" xfId="392" xr:uid="{00000000-0005-0000-0000-000038020000}"/>
    <cellStyle name="Comma 7 2 3 2" xfId="1339" xr:uid="{00000000-0005-0000-0000-000039020000}"/>
    <cellStyle name="Comma 7 2 3 2 2" xfId="2739" xr:uid="{00000000-0005-0000-0000-00003A020000}"/>
    <cellStyle name="Comma 7 2 3 3" xfId="1674" xr:uid="{00000000-0005-0000-0000-00003B020000}"/>
    <cellStyle name="Comma 7 2 3 4" xfId="1338" xr:uid="{00000000-0005-0000-0000-00003C020000}"/>
    <cellStyle name="Comma 7 2 3 5" xfId="2928" xr:uid="{00000000-0005-0000-0000-00003D020000}"/>
    <cellStyle name="Comma 7 3" xfId="393" xr:uid="{00000000-0005-0000-0000-00003E020000}"/>
    <cellStyle name="Comma 7 3 2" xfId="1341" xr:uid="{00000000-0005-0000-0000-00003F020000}"/>
    <cellStyle name="Comma 7 3 2 2" xfId="2740" xr:uid="{00000000-0005-0000-0000-000040020000}"/>
    <cellStyle name="Comma 7 3 3" xfId="1675" xr:uid="{00000000-0005-0000-0000-000041020000}"/>
    <cellStyle name="Comma 7 3 4" xfId="1340" xr:uid="{00000000-0005-0000-0000-000042020000}"/>
    <cellStyle name="Comma 7 3 5" xfId="2929" xr:uid="{00000000-0005-0000-0000-000043020000}"/>
    <cellStyle name="Comma 7 4" xfId="394" xr:uid="{00000000-0005-0000-0000-000044020000}"/>
    <cellStyle name="Comma 7 4 2" xfId="1343" xr:uid="{00000000-0005-0000-0000-000045020000}"/>
    <cellStyle name="Comma 7 4 2 2" xfId="2741" xr:uid="{00000000-0005-0000-0000-000046020000}"/>
    <cellStyle name="Comma 7 4 3" xfId="1676" xr:uid="{00000000-0005-0000-0000-000047020000}"/>
    <cellStyle name="Comma 7 4 4" xfId="1342" xr:uid="{00000000-0005-0000-0000-000048020000}"/>
    <cellStyle name="Comma 7 4 5" xfId="2930" xr:uid="{00000000-0005-0000-0000-000049020000}"/>
    <cellStyle name="Comma 7 5" xfId="1344" xr:uid="{00000000-0005-0000-0000-00004A020000}"/>
    <cellStyle name="Comma 7 5 2" xfId="2742" xr:uid="{00000000-0005-0000-0000-00004B020000}"/>
    <cellStyle name="Comma 7 6" xfId="1667" xr:uid="{00000000-0005-0000-0000-00004C020000}"/>
    <cellStyle name="Comma 7 6 2" xfId="2496" xr:uid="{00000000-0005-0000-0000-00004D020000}"/>
    <cellStyle name="Comma 7 6 3" xfId="2551" xr:uid="{00000000-0005-0000-0000-00004E020000}"/>
    <cellStyle name="Comma 7 7" xfId="1325" xr:uid="{00000000-0005-0000-0000-00004F020000}"/>
    <cellStyle name="Comma 7 8" xfId="2921" xr:uid="{00000000-0005-0000-0000-000050020000}"/>
    <cellStyle name="Comma 8" xfId="86" xr:uid="{00000000-0005-0000-0000-000051020000}"/>
    <cellStyle name="Comma 8 2" xfId="395" xr:uid="{00000000-0005-0000-0000-000052020000}"/>
    <cellStyle name="Comma 8 2 2" xfId="396" xr:uid="{00000000-0005-0000-0000-000053020000}"/>
    <cellStyle name="Comma 8 2 2 2" xfId="397" xr:uid="{00000000-0005-0000-0000-000054020000}"/>
    <cellStyle name="Comma 8 2 2 2 2" xfId="1348" xr:uid="{00000000-0005-0000-0000-000055020000}"/>
    <cellStyle name="Comma 8 2 2 2 2 2" xfId="2743" xr:uid="{00000000-0005-0000-0000-000056020000}"/>
    <cellStyle name="Comma 8 2 2 2 3" xfId="1679" xr:uid="{00000000-0005-0000-0000-000057020000}"/>
    <cellStyle name="Comma 8 2 2 2 4" xfId="1347" xr:uid="{00000000-0005-0000-0000-000058020000}"/>
    <cellStyle name="Comma 8 2 2 2 5" xfId="2933" xr:uid="{00000000-0005-0000-0000-000059020000}"/>
    <cellStyle name="Comma 8 2 2 3" xfId="1349" xr:uid="{00000000-0005-0000-0000-00005A020000}"/>
    <cellStyle name="Comma 8 2 2 3 2" xfId="2744" xr:uid="{00000000-0005-0000-0000-00005B020000}"/>
    <cellStyle name="Comma 8 2 2 4" xfId="1678" xr:uid="{00000000-0005-0000-0000-00005C020000}"/>
    <cellStyle name="Comma 8 2 2 5" xfId="1346" xr:uid="{00000000-0005-0000-0000-00005D020000}"/>
    <cellStyle name="Comma 8 2 2 6" xfId="2932" xr:uid="{00000000-0005-0000-0000-00005E020000}"/>
    <cellStyle name="Comma 8 2 3" xfId="1350" xr:uid="{00000000-0005-0000-0000-00005F020000}"/>
    <cellStyle name="Comma 8 2 3 2" xfId="2745" xr:uid="{00000000-0005-0000-0000-000060020000}"/>
    <cellStyle name="Comma 8 2 4" xfId="1677" xr:uid="{00000000-0005-0000-0000-000061020000}"/>
    <cellStyle name="Comma 8 2 5" xfId="1345" xr:uid="{00000000-0005-0000-0000-000062020000}"/>
    <cellStyle name="Comma 8 2 6" xfId="2931" xr:uid="{00000000-0005-0000-0000-000063020000}"/>
    <cellStyle name="Comma 8 3" xfId="398" xr:uid="{00000000-0005-0000-0000-000064020000}"/>
    <cellStyle name="Comma 8 4" xfId="533" xr:uid="{00000000-0005-0000-0000-000065020000}"/>
    <cellStyle name="Comma 9" xfId="87" xr:uid="{00000000-0005-0000-0000-000066020000}"/>
    <cellStyle name="Comma 9 2" xfId="399" xr:uid="{00000000-0005-0000-0000-000067020000}"/>
    <cellStyle name="Comma 9 2 2" xfId="1352" xr:uid="{00000000-0005-0000-0000-000068020000}"/>
    <cellStyle name="Comma 9 2 2 2" xfId="2746" xr:uid="{00000000-0005-0000-0000-000069020000}"/>
    <cellStyle name="Comma 9 2 3" xfId="1680" xr:uid="{00000000-0005-0000-0000-00006A020000}"/>
    <cellStyle name="Comma 9 2 4" xfId="1351" xr:uid="{00000000-0005-0000-0000-00006B020000}"/>
    <cellStyle name="Comma 9 2 5" xfId="2934" xr:uid="{00000000-0005-0000-0000-00006C020000}"/>
    <cellStyle name="Comma 9 3" xfId="400" xr:uid="{00000000-0005-0000-0000-00006D020000}"/>
    <cellStyle name="Comma 9 3 2" xfId="401" xr:uid="{00000000-0005-0000-0000-00006E020000}"/>
    <cellStyle name="Comma 9 3 2 2" xfId="402" xr:uid="{00000000-0005-0000-0000-00006F020000}"/>
    <cellStyle name="Comma 9 3 2 2 2" xfId="1356" xr:uid="{00000000-0005-0000-0000-000070020000}"/>
    <cellStyle name="Comma 9 3 2 2 2 2" xfId="2747" xr:uid="{00000000-0005-0000-0000-000071020000}"/>
    <cellStyle name="Comma 9 3 2 2 3" xfId="1683" xr:uid="{00000000-0005-0000-0000-000072020000}"/>
    <cellStyle name="Comma 9 3 2 2 4" xfId="1355" xr:uid="{00000000-0005-0000-0000-000073020000}"/>
    <cellStyle name="Comma 9 3 2 2 5" xfId="2937" xr:uid="{00000000-0005-0000-0000-000074020000}"/>
    <cellStyle name="Comma 9 3 2 3" xfId="1357" xr:uid="{00000000-0005-0000-0000-000075020000}"/>
    <cellStyle name="Comma 9 3 2 3 2" xfId="2748" xr:uid="{00000000-0005-0000-0000-000076020000}"/>
    <cellStyle name="Comma 9 3 2 4" xfId="1682" xr:uid="{00000000-0005-0000-0000-000077020000}"/>
    <cellStyle name="Comma 9 3 2 5" xfId="1354" xr:uid="{00000000-0005-0000-0000-000078020000}"/>
    <cellStyle name="Comma 9 3 2 6" xfId="2936" xr:uid="{00000000-0005-0000-0000-000079020000}"/>
    <cellStyle name="Comma 9 3 3" xfId="1358" xr:uid="{00000000-0005-0000-0000-00007A020000}"/>
    <cellStyle name="Comma 9 3 3 2" xfId="2749" xr:uid="{00000000-0005-0000-0000-00007B020000}"/>
    <cellStyle name="Comma 9 3 4" xfId="1681" xr:uid="{00000000-0005-0000-0000-00007C020000}"/>
    <cellStyle name="Comma 9 3 5" xfId="1353" xr:uid="{00000000-0005-0000-0000-00007D020000}"/>
    <cellStyle name="Comma 9 3 6" xfId="2935" xr:uid="{00000000-0005-0000-0000-00007E020000}"/>
    <cellStyle name="Comma 9 4" xfId="403" xr:uid="{00000000-0005-0000-0000-00007F020000}"/>
    <cellStyle name="Comma 9 4 2" xfId="1360" xr:uid="{00000000-0005-0000-0000-000080020000}"/>
    <cellStyle name="Comma 9 4 2 2" xfId="2750" xr:uid="{00000000-0005-0000-0000-000081020000}"/>
    <cellStyle name="Comma 9 4 3" xfId="1684" xr:uid="{00000000-0005-0000-0000-000082020000}"/>
    <cellStyle name="Comma 9 4 4" xfId="1359" xr:uid="{00000000-0005-0000-0000-000083020000}"/>
    <cellStyle name="Comma 9 4 5" xfId="2938" xr:uid="{00000000-0005-0000-0000-000084020000}"/>
    <cellStyle name="Currency 2" xfId="88" xr:uid="{00000000-0005-0000-0000-000085020000}"/>
    <cellStyle name="Currency 2 2" xfId="404" xr:uid="{00000000-0005-0000-0000-000086020000}"/>
    <cellStyle name="Currency 2 2 2" xfId="1362" xr:uid="{00000000-0005-0000-0000-000087020000}"/>
    <cellStyle name="Currency 2 2 2 2" xfId="2751" xr:uid="{00000000-0005-0000-0000-000088020000}"/>
    <cellStyle name="Currency 2 2 3" xfId="1685" xr:uid="{00000000-0005-0000-0000-000089020000}"/>
    <cellStyle name="Currency 2 2 4" xfId="1361" xr:uid="{00000000-0005-0000-0000-00008A020000}"/>
    <cellStyle name="Currency 2 2 5" xfId="2939" xr:uid="{00000000-0005-0000-0000-00008B020000}"/>
    <cellStyle name="Currency 3" xfId="686" xr:uid="{00000000-0005-0000-0000-00008C020000}"/>
    <cellStyle name="Currency 3 2" xfId="1364" xr:uid="{00000000-0005-0000-0000-00008D020000}"/>
    <cellStyle name="Currency 3 2 2" xfId="2752" xr:uid="{00000000-0005-0000-0000-00008E020000}"/>
    <cellStyle name="Currency 3 3" xfId="1686" xr:uid="{00000000-0005-0000-0000-00008F020000}"/>
    <cellStyle name="Currency 3 4" xfId="1363" xr:uid="{00000000-0005-0000-0000-000090020000}"/>
    <cellStyle name="Currency 3 5" xfId="2940" xr:uid="{00000000-0005-0000-0000-000091020000}"/>
    <cellStyle name="Euro" xfId="89" xr:uid="{00000000-0005-0000-0000-000092020000}"/>
    <cellStyle name="Euro 2" xfId="90" xr:uid="{00000000-0005-0000-0000-000093020000}"/>
    <cellStyle name="Euro 3" xfId="91" xr:uid="{00000000-0005-0000-0000-000094020000}"/>
    <cellStyle name="Euro 4" xfId="92" xr:uid="{00000000-0005-0000-0000-000095020000}"/>
    <cellStyle name="Euro 5" xfId="93" xr:uid="{00000000-0005-0000-0000-000096020000}"/>
    <cellStyle name="Explanatory Text" xfId="575" builtinId="53" customBuiltin="1"/>
    <cellStyle name="Explanatory Text 2" xfId="405" xr:uid="{00000000-0005-0000-0000-000098020000}"/>
    <cellStyle name="Good" xfId="566" builtinId="26" customBuiltin="1"/>
    <cellStyle name="Good 2" xfId="406" xr:uid="{00000000-0005-0000-0000-00009A020000}"/>
    <cellStyle name="Good 2 2" xfId="1004" xr:uid="{00000000-0005-0000-0000-00009B020000}"/>
    <cellStyle name="Good 2 3" xfId="1182" xr:uid="{00000000-0005-0000-0000-00009C020000}"/>
    <cellStyle name="Grey" xfId="94" xr:uid="{00000000-0005-0000-0000-00009D020000}"/>
    <cellStyle name="Heading 1" xfId="562" builtinId="16" customBuiltin="1"/>
    <cellStyle name="Heading 1 2" xfId="407" xr:uid="{00000000-0005-0000-0000-00009F020000}"/>
    <cellStyle name="Heading 2" xfId="563" builtinId="17" customBuiltin="1"/>
    <cellStyle name="Heading 2 2" xfId="408" xr:uid="{00000000-0005-0000-0000-0000A1020000}"/>
    <cellStyle name="Heading 3" xfId="564" builtinId="18" customBuiltin="1"/>
    <cellStyle name="Heading 3 2" xfId="409" xr:uid="{00000000-0005-0000-0000-0000A3020000}"/>
    <cellStyle name="Heading 4" xfId="565" builtinId="19" customBuiltin="1"/>
    <cellStyle name="Heading 4 2" xfId="410" xr:uid="{00000000-0005-0000-0000-0000A5020000}"/>
    <cellStyle name="Hipervínculo_IIF" xfId="95" xr:uid="{00000000-0005-0000-0000-0000A6020000}"/>
    <cellStyle name="Hyperlink 2" xfId="178" xr:uid="{00000000-0005-0000-0000-0000A7020000}"/>
    <cellStyle name="imf-one decimal" xfId="96" xr:uid="{00000000-0005-0000-0000-0000A8020000}"/>
    <cellStyle name="imf-zero decimal" xfId="97" xr:uid="{00000000-0005-0000-0000-0000A9020000}"/>
    <cellStyle name="Input" xfId="569" builtinId="20" customBuiltin="1"/>
    <cellStyle name="Input [yellow]" xfId="98" xr:uid="{00000000-0005-0000-0000-0000AB020000}"/>
    <cellStyle name="Input 2" xfId="411" xr:uid="{00000000-0005-0000-0000-0000AC020000}"/>
    <cellStyle name="Linked Cell" xfId="572" builtinId="24" customBuiltin="1"/>
    <cellStyle name="Linked Cell 2" xfId="412" xr:uid="{00000000-0005-0000-0000-0000AE020000}"/>
    <cellStyle name="Millares [0]_BALPROGRAMA2001R" xfId="99" xr:uid="{00000000-0005-0000-0000-0000AF020000}"/>
    <cellStyle name="Millares_BALPROGRAMA2001R" xfId="100" xr:uid="{00000000-0005-0000-0000-0000B0020000}"/>
    <cellStyle name="Milliers [0]_Feuil1" xfId="101" xr:uid="{00000000-0005-0000-0000-0000B1020000}"/>
    <cellStyle name="Milliers_Feuil1" xfId="102" xr:uid="{00000000-0005-0000-0000-0000B2020000}"/>
    <cellStyle name="Moneda [0]_BALPROGRAMA2001R" xfId="103" xr:uid="{00000000-0005-0000-0000-0000B3020000}"/>
    <cellStyle name="Moneda_BALPROGRAMA2001R" xfId="104" xr:uid="{00000000-0005-0000-0000-0000B4020000}"/>
    <cellStyle name="Monétaire [0]_Feuil1" xfId="105" xr:uid="{00000000-0005-0000-0000-0000B5020000}"/>
    <cellStyle name="Monétaire_Feuil1" xfId="106" xr:uid="{00000000-0005-0000-0000-0000B6020000}"/>
    <cellStyle name="Neutral" xfId="568" builtinId="28" customBuiltin="1"/>
    <cellStyle name="Neutral 2" xfId="413" xr:uid="{00000000-0005-0000-0000-0000B8020000}"/>
    <cellStyle name="Normal" xfId="0" builtinId="0"/>
    <cellStyle name="Normal - Style1" xfId="107" xr:uid="{00000000-0005-0000-0000-0000BA020000}"/>
    <cellStyle name="Normal - Style2" xfId="108" xr:uid="{00000000-0005-0000-0000-0000BB020000}"/>
    <cellStyle name="Normal 10" xfId="109" xr:uid="{00000000-0005-0000-0000-0000BC020000}"/>
    <cellStyle name="Normal 10 2" xfId="414" xr:uid="{00000000-0005-0000-0000-0000BD020000}"/>
    <cellStyle name="Normal 10 2 2" xfId="1688" xr:uid="{00000000-0005-0000-0000-0000BE020000}"/>
    <cellStyle name="Normal 10 2 3" xfId="2494" xr:uid="{00000000-0005-0000-0000-0000BF020000}"/>
    <cellStyle name="Normal 10 3" xfId="1687" xr:uid="{00000000-0005-0000-0000-0000C0020000}"/>
    <cellStyle name="Normal 10 4" xfId="2495" xr:uid="{00000000-0005-0000-0000-0000C1020000}"/>
    <cellStyle name="Normal 100" xfId="604" xr:uid="{00000000-0005-0000-0000-0000C2020000}"/>
    <cellStyle name="Normal 100 2" xfId="1689" xr:uid="{00000000-0005-0000-0000-0000C3020000}"/>
    <cellStyle name="Normal 100 2 2" xfId="2549" xr:uid="{00000000-0005-0000-0000-0000C4020000}"/>
    <cellStyle name="Normal 100 2 3" xfId="2550" xr:uid="{00000000-0005-0000-0000-0000C5020000}"/>
    <cellStyle name="Normal 100 3" xfId="2493" xr:uid="{00000000-0005-0000-0000-0000C6020000}"/>
    <cellStyle name="Normal 101" xfId="605" xr:uid="{00000000-0005-0000-0000-0000C7020000}"/>
    <cellStyle name="Normal 101 2" xfId="1690" xr:uid="{00000000-0005-0000-0000-0000C8020000}"/>
    <cellStyle name="Normal 101 3" xfId="2492" xr:uid="{00000000-0005-0000-0000-0000C9020000}"/>
    <cellStyle name="Normal 102" xfId="606" xr:uid="{00000000-0005-0000-0000-0000CA020000}"/>
    <cellStyle name="Normal 102 2" xfId="857" xr:uid="{00000000-0005-0000-0000-0000CB020000}"/>
    <cellStyle name="Normal 102 2 2" xfId="2659" xr:uid="{00000000-0005-0000-0000-0000CC020000}"/>
    <cellStyle name="Normal 102 2 3" xfId="2548" xr:uid="{00000000-0005-0000-0000-0000CD020000}"/>
    <cellStyle name="Normal 102 3" xfId="1691" xr:uid="{00000000-0005-0000-0000-0000CE020000}"/>
    <cellStyle name="Normal 102 3 2" xfId="2490" xr:uid="{00000000-0005-0000-0000-0000CF020000}"/>
    <cellStyle name="Normal 102 3 3" xfId="2547" xr:uid="{00000000-0005-0000-0000-0000D0020000}"/>
    <cellStyle name="Normal 102 4" xfId="2491" xr:uid="{00000000-0005-0000-0000-0000D1020000}"/>
    <cellStyle name="Normal 103" xfId="607" xr:uid="{00000000-0005-0000-0000-0000D2020000}"/>
    <cellStyle name="Normal 103 2" xfId="862" xr:uid="{00000000-0005-0000-0000-0000D3020000}"/>
    <cellStyle name="Normal 103 2 2" xfId="2658" xr:uid="{00000000-0005-0000-0000-0000D4020000}"/>
    <cellStyle name="Normal 103 2 3" xfId="2545" xr:uid="{00000000-0005-0000-0000-0000D5020000}"/>
    <cellStyle name="Normal 103 2 4" xfId="2546" xr:uid="{00000000-0005-0000-0000-0000D6020000}"/>
    <cellStyle name="Normal 103 3" xfId="1692" xr:uid="{00000000-0005-0000-0000-0000D7020000}"/>
    <cellStyle name="Normal 103 4" xfId="2489" xr:uid="{00000000-0005-0000-0000-0000D8020000}"/>
    <cellStyle name="Normal 104" xfId="608" xr:uid="{00000000-0005-0000-0000-0000D9020000}"/>
    <cellStyle name="Normal 104 2" xfId="708" xr:uid="{00000000-0005-0000-0000-0000DA020000}"/>
    <cellStyle name="Normal 104 2 2" xfId="1694" xr:uid="{00000000-0005-0000-0000-0000DB020000}"/>
    <cellStyle name="Normal 104 2 3" xfId="2487" xr:uid="{00000000-0005-0000-0000-0000DC020000}"/>
    <cellStyle name="Normal 104 3" xfId="876" xr:uid="{00000000-0005-0000-0000-0000DD020000}"/>
    <cellStyle name="Normal 104 4" xfId="943" xr:uid="{00000000-0005-0000-0000-0000DE020000}"/>
    <cellStyle name="Normal 104 5" xfId="1693" xr:uid="{00000000-0005-0000-0000-0000DF020000}"/>
    <cellStyle name="Normal 104 5 2" xfId="2486" xr:uid="{00000000-0005-0000-0000-0000E0020000}"/>
    <cellStyle name="Normal 104 5 3" xfId="2674" xr:uid="{00000000-0005-0000-0000-0000E1020000}"/>
    <cellStyle name="Normal 104 6" xfId="2488" xr:uid="{00000000-0005-0000-0000-0000E2020000}"/>
    <cellStyle name="Normal 105" xfId="609" xr:uid="{00000000-0005-0000-0000-0000E3020000}"/>
    <cellStyle name="Normal 105 2" xfId="709" xr:uid="{00000000-0005-0000-0000-0000E4020000}"/>
    <cellStyle name="Normal 105 2 2" xfId="1696" xr:uid="{00000000-0005-0000-0000-0000E5020000}"/>
    <cellStyle name="Normal 105 2 3" xfId="2484" xr:uid="{00000000-0005-0000-0000-0000E6020000}"/>
    <cellStyle name="Normal 105 3" xfId="877" xr:uid="{00000000-0005-0000-0000-0000E7020000}"/>
    <cellStyle name="Normal 105 4" xfId="1695" xr:uid="{00000000-0005-0000-0000-0000E8020000}"/>
    <cellStyle name="Normal 105 4 2" xfId="2676" xr:uid="{00000000-0005-0000-0000-0000E9020000}"/>
    <cellStyle name="Normal 105 4 3" xfId="2483" xr:uid="{00000000-0005-0000-0000-0000EA020000}"/>
    <cellStyle name="Normal 105 4 4" xfId="2675" xr:uid="{00000000-0005-0000-0000-0000EB020000}"/>
    <cellStyle name="Normal 105 5" xfId="2485" xr:uid="{00000000-0005-0000-0000-0000EC020000}"/>
    <cellStyle name="Normal 106" xfId="670" xr:uid="{00000000-0005-0000-0000-0000ED020000}"/>
    <cellStyle name="Normal 106 2" xfId="710" xr:uid="{00000000-0005-0000-0000-0000EE020000}"/>
    <cellStyle name="Normal 106 2 2" xfId="1698" xr:uid="{00000000-0005-0000-0000-0000EF020000}"/>
    <cellStyle name="Normal 106 2 3" xfId="2481" xr:uid="{00000000-0005-0000-0000-0000F0020000}"/>
    <cellStyle name="Normal 106 3" xfId="908" xr:uid="{00000000-0005-0000-0000-0000F1020000}"/>
    <cellStyle name="Normal 106 4" xfId="1697" xr:uid="{00000000-0005-0000-0000-0000F2020000}"/>
    <cellStyle name="Normal 106 5" xfId="2482" xr:uid="{00000000-0005-0000-0000-0000F3020000}"/>
    <cellStyle name="Normal 107" xfId="669" xr:uid="{00000000-0005-0000-0000-0000F4020000}"/>
    <cellStyle name="Normal 107 2" xfId="711" xr:uid="{00000000-0005-0000-0000-0000F5020000}"/>
    <cellStyle name="Normal 107 2 2" xfId="1700" xr:uid="{00000000-0005-0000-0000-0000F6020000}"/>
    <cellStyle name="Normal 107 2 3" xfId="2479" xr:uid="{00000000-0005-0000-0000-0000F7020000}"/>
    <cellStyle name="Normal 107 3" xfId="907" xr:uid="{00000000-0005-0000-0000-0000F8020000}"/>
    <cellStyle name="Normal 107 4" xfId="1699" xr:uid="{00000000-0005-0000-0000-0000F9020000}"/>
    <cellStyle name="Normal 107 5" xfId="2480" xr:uid="{00000000-0005-0000-0000-0000FA020000}"/>
    <cellStyle name="Normal 108" xfId="601" xr:uid="{00000000-0005-0000-0000-0000FB020000}"/>
    <cellStyle name="Normal 108 2" xfId="712" xr:uid="{00000000-0005-0000-0000-0000FC020000}"/>
    <cellStyle name="Normal 108 2 2" xfId="1702" xr:uid="{00000000-0005-0000-0000-0000FD020000}"/>
    <cellStyle name="Normal 108 2 3" xfId="2477" xr:uid="{00000000-0005-0000-0000-0000FE020000}"/>
    <cellStyle name="Normal 108 3" xfId="873" xr:uid="{00000000-0005-0000-0000-0000FF020000}"/>
    <cellStyle name="Normal 108 4" xfId="1701" xr:uid="{00000000-0005-0000-0000-000000030000}"/>
    <cellStyle name="Normal 108 5" xfId="2478" xr:uid="{00000000-0005-0000-0000-000001030000}"/>
    <cellStyle name="Normal 109" xfId="602" xr:uid="{00000000-0005-0000-0000-000002030000}"/>
    <cellStyle name="Normal 109 2" xfId="713" xr:uid="{00000000-0005-0000-0000-000003030000}"/>
    <cellStyle name="Normal 109 2 2" xfId="1704" xr:uid="{00000000-0005-0000-0000-000004030000}"/>
    <cellStyle name="Normal 109 2 3" xfId="2475" xr:uid="{00000000-0005-0000-0000-000005030000}"/>
    <cellStyle name="Normal 109 3" xfId="874" xr:uid="{00000000-0005-0000-0000-000006030000}"/>
    <cellStyle name="Normal 109 4" xfId="1703" xr:uid="{00000000-0005-0000-0000-000007030000}"/>
    <cellStyle name="Normal 109 5" xfId="2476" xr:uid="{00000000-0005-0000-0000-000008030000}"/>
    <cellStyle name="Normal 11" xfId="110" xr:uid="{00000000-0005-0000-0000-000009030000}"/>
    <cellStyle name="Normal 11 2" xfId="415" xr:uid="{00000000-0005-0000-0000-00000A030000}"/>
    <cellStyle name="Normal 11 2 2" xfId="416" xr:uid="{00000000-0005-0000-0000-00000B030000}"/>
    <cellStyle name="Normal 11 2 2 2" xfId="417" xr:uid="{00000000-0005-0000-0000-00000C030000}"/>
    <cellStyle name="Normal 11 2 2 2 2" xfId="1708" xr:uid="{00000000-0005-0000-0000-00000D030000}"/>
    <cellStyle name="Normal 11 2 2 2 3" xfId="2471" xr:uid="{00000000-0005-0000-0000-00000E030000}"/>
    <cellStyle name="Normal 11 2 2 3" xfId="1707" xr:uid="{00000000-0005-0000-0000-00000F030000}"/>
    <cellStyle name="Normal 11 2 2 4" xfId="2472" xr:uid="{00000000-0005-0000-0000-000010030000}"/>
    <cellStyle name="Normal 11 2 3" xfId="1706" xr:uid="{00000000-0005-0000-0000-000011030000}"/>
    <cellStyle name="Normal 11 2 4" xfId="2473" xr:uid="{00000000-0005-0000-0000-000012030000}"/>
    <cellStyle name="Normal 11 3" xfId="418" xr:uid="{00000000-0005-0000-0000-000013030000}"/>
    <cellStyle name="Normal 11 3 2" xfId="1709" xr:uid="{00000000-0005-0000-0000-000014030000}"/>
    <cellStyle name="Normal 11 3 3" xfId="2470" xr:uid="{00000000-0005-0000-0000-000015030000}"/>
    <cellStyle name="Normal 11 4" xfId="1705" xr:uid="{00000000-0005-0000-0000-000016030000}"/>
    <cellStyle name="Normal 11 5" xfId="2474" xr:uid="{00000000-0005-0000-0000-000017030000}"/>
    <cellStyle name="Normal 110" xfId="603" xr:uid="{00000000-0005-0000-0000-000018030000}"/>
    <cellStyle name="Normal 110 2" xfId="714" xr:uid="{00000000-0005-0000-0000-000019030000}"/>
    <cellStyle name="Normal 110 2 2" xfId="1711" xr:uid="{00000000-0005-0000-0000-00001A030000}"/>
    <cellStyle name="Normal 110 2 3" xfId="2468" xr:uid="{00000000-0005-0000-0000-00001B030000}"/>
    <cellStyle name="Normal 110 3" xfId="875" xr:uid="{00000000-0005-0000-0000-00001C030000}"/>
    <cellStyle name="Normal 110 4" xfId="1710" xr:uid="{00000000-0005-0000-0000-00001D030000}"/>
    <cellStyle name="Normal 110 5" xfId="2469" xr:uid="{00000000-0005-0000-0000-00001E030000}"/>
    <cellStyle name="Normal 111" xfId="681" xr:uid="{00000000-0005-0000-0000-00001F030000}"/>
    <cellStyle name="Normal 111 2" xfId="715" xr:uid="{00000000-0005-0000-0000-000020030000}"/>
    <cellStyle name="Normal 111 2 2" xfId="1713" xr:uid="{00000000-0005-0000-0000-000021030000}"/>
    <cellStyle name="Normal 111 2 3" xfId="2466" xr:uid="{00000000-0005-0000-0000-000022030000}"/>
    <cellStyle name="Normal 111 3" xfId="909" xr:uid="{00000000-0005-0000-0000-000023030000}"/>
    <cellStyle name="Normal 111 4" xfId="1712" xr:uid="{00000000-0005-0000-0000-000024030000}"/>
    <cellStyle name="Normal 111 5" xfId="2467" xr:uid="{00000000-0005-0000-0000-000025030000}"/>
    <cellStyle name="Normal 112" xfId="683" xr:uid="{00000000-0005-0000-0000-000026030000}"/>
    <cellStyle name="Normal 112 2" xfId="716" xr:uid="{00000000-0005-0000-0000-000027030000}"/>
    <cellStyle name="Normal 112 2 2" xfId="1715" xr:uid="{00000000-0005-0000-0000-000028030000}"/>
    <cellStyle name="Normal 112 2 3" xfId="2464" xr:uid="{00000000-0005-0000-0000-000029030000}"/>
    <cellStyle name="Normal 112 3" xfId="911" xr:uid="{00000000-0005-0000-0000-00002A030000}"/>
    <cellStyle name="Normal 112 4" xfId="1714" xr:uid="{00000000-0005-0000-0000-00002B030000}"/>
    <cellStyle name="Normal 112 5" xfId="2465" xr:uid="{00000000-0005-0000-0000-00002C030000}"/>
    <cellStyle name="Normal 113" xfId="684" xr:uid="{00000000-0005-0000-0000-00002D030000}"/>
    <cellStyle name="Normal 113 2" xfId="717" xr:uid="{00000000-0005-0000-0000-00002E030000}"/>
    <cellStyle name="Normal 113 2 2" xfId="1717" xr:uid="{00000000-0005-0000-0000-00002F030000}"/>
    <cellStyle name="Normal 113 2 3" xfId="2462" xr:uid="{00000000-0005-0000-0000-000030030000}"/>
    <cellStyle name="Normal 113 3" xfId="912" xr:uid="{00000000-0005-0000-0000-000031030000}"/>
    <cellStyle name="Normal 113 4" xfId="1716" xr:uid="{00000000-0005-0000-0000-000032030000}"/>
    <cellStyle name="Normal 113 5" xfId="2463" xr:uid="{00000000-0005-0000-0000-000033030000}"/>
    <cellStyle name="Normal 114" xfId="685" xr:uid="{00000000-0005-0000-0000-000034030000}"/>
    <cellStyle name="Normal 114 2" xfId="718" xr:uid="{00000000-0005-0000-0000-000035030000}"/>
    <cellStyle name="Normal 114 2 2" xfId="1719" xr:uid="{00000000-0005-0000-0000-000036030000}"/>
    <cellStyle name="Normal 114 2 3" xfId="2460" xr:uid="{00000000-0005-0000-0000-000037030000}"/>
    <cellStyle name="Normal 114 3" xfId="913" xr:uid="{00000000-0005-0000-0000-000038030000}"/>
    <cellStyle name="Normal 114 4" xfId="1718" xr:uid="{00000000-0005-0000-0000-000039030000}"/>
    <cellStyle name="Normal 114 5" xfId="2461" xr:uid="{00000000-0005-0000-0000-00003A030000}"/>
    <cellStyle name="Normal 115" xfId="682" xr:uid="{00000000-0005-0000-0000-00003B030000}"/>
    <cellStyle name="Normal 115 2" xfId="719" xr:uid="{00000000-0005-0000-0000-00003C030000}"/>
    <cellStyle name="Normal 115 2 2" xfId="1721" xr:uid="{00000000-0005-0000-0000-00003D030000}"/>
    <cellStyle name="Normal 115 2 3" xfId="2458" xr:uid="{00000000-0005-0000-0000-00003E030000}"/>
    <cellStyle name="Normal 115 3" xfId="910" xr:uid="{00000000-0005-0000-0000-00003F030000}"/>
    <cellStyle name="Normal 115 4" xfId="1720" xr:uid="{00000000-0005-0000-0000-000040030000}"/>
    <cellStyle name="Normal 115 5" xfId="2459" xr:uid="{00000000-0005-0000-0000-000041030000}"/>
    <cellStyle name="Normal 116" xfId="687" xr:uid="{00000000-0005-0000-0000-000042030000}"/>
    <cellStyle name="Normal 116 2" xfId="720" xr:uid="{00000000-0005-0000-0000-000043030000}"/>
    <cellStyle name="Normal 116 2 2" xfId="1723" xr:uid="{00000000-0005-0000-0000-000044030000}"/>
    <cellStyle name="Normal 116 2 3" xfId="2456" xr:uid="{00000000-0005-0000-0000-000045030000}"/>
    <cellStyle name="Normal 116 3" xfId="914" xr:uid="{00000000-0005-0000-0000-000046030000}"/>
    <cellStyle name="Normal 116 4" xfId="1722" xr:uid="{00000000-0005-0000-0000-000047030000}"/>
    <cellStyle name="Normal 116 5" xfId="2457" xr:uid="{00000000-0005-0000-0000-000048030000}"/>
    <cellStyle name="Normal 117" xfId="688" xr:uid="{00000000-0005-0000-0000-000049030000}"/>
    <cellStyle name="Normal 117 2" xfId="721" xr:uid="{00000000-0005-0000-0000-00004A030000}"/>
    <cellStyle name="Normal 117 2 2" xfId="1725" xr:uid="{00000000-0005-0000-0000-00004B030000}"/>
    <cellStyle name="Normal 117 2 3" xfId="2454" xr:uid="{00000000-0005-0000-0000-00004C030000}"/>
    <cellStyle name="Normal 117 3" xfId="915" xr:uid="{00000000-0005-0000-0000-00004D030000}"/>
    <cellStyle name="Normal 117 4" xfId="1724" xr:uid="{00000000-0005-0000-0000-00004E030000}"/>
    <cellStyle name="Normal 117 5" xfId="2455" xr:uid="{00000000-0005-0000-0000-00004F030000}"/>
    <cellStyle name="Normal 118" xfId="610" xr:uid="{00000000-0005-0000-0000-000050030000}"/>
    <cellStyle name="Normal 118 2" xfId="722" xr:uid="{00000000-0005-0000-0000-000051030000}"/>
    <cellStyle name="Normal 118 2 2" xfId="1727" xr:uid="{00000000-0005-0000-0000-000052030000}"/>
    <cellStyle name="Normal 118 2 3" xfId="2452" xr:uid="{00000000-0005-0000-0000-000053030000}"/>
    <cellStyle name="Normal 118 3" xfId="878" xr:uid="{00000000-0005-0000-0000-000054030000}"/>
    <cellStyle name="Normal 118 4" xfId="1726" xr:uid="{00000000-0005-0000-0000-000055030000}"/>
    <cellStyle name="Normal 118 5" xfId="2453" xr:uid="{00000000-0005-0000-0000-000056030000}"/>
    <cellStyle name="Normal 119" xfId="622" xr:uid="{00000000-0005-0000-0000-000057030000}"/>
    <cellStyle name="Normal 119 2" xfId="723" xr:uid="{00000000-0005-0000-0000-000058030000}"/>
    <cellStyle name="Normal 119 2 2" xfId="1729" xr:uid="{00000000-0005-0000-0000-000059030000}"/>
    <cellStyle name="Normal 119 2 3" xfId="2450" xr:uid="{00000000-0005-0000-0000-00005A030000}"/>
    <cellStyle name="Normal 119 3" xfId="888" xr:uid="{00000000-0005-0000-0000-00005B030000}"/>
    <cellStyle name="Normal 119 4" xfId="1728" xr:uid="{00000000-0005-0000-0000-00005C030000}"/>
    <cellStyle name="Normal 119 5" xfId="2451" xr:uid="{00000000-0005-0000-0000-00005D030000}"/>
    <cellStyle name="Normal 12" xfId="111" xr:uid="{00000000-0005-0000-0000-00005E030000}"/>
    <cellStyle name="Normal 12 2" xfId="419" xr:uid="{00000000-0005-0000-0000-00005F030000}"/>
    <cellStyle name="Normal 12 2 2" xfId="420" xr:uid="{00000000-0005-0000-0000-000060030000}"/>
    <cellStyle name="Normal 12 2 2 2" xfId="1732" xr:uid="{00000000-0005-0000-0000-000061030000}"/>
    <cellStyle name="Normal 12 2 2 3" xfId="2447" xr:uid="{00000000-0005-0000-0000-000062030000}"/>
    <cellStyle name="Normal 12 2 3" xfId="1731" xr:uid="{00000000-0005-0000-0000-000063030000}"/>
    <cellStyle name="Normal 12 2 4" xfId="2448" xr:uid="{00000000-0005-0000-0000-000064030000}"/>
    <cellStyle name="Normal 12 3" xfId="421" xr:uid="{00000000-0005-0000-0000-000065030000}"/>
    <cellStyle name="Normal 12 4" xfId="1730" xr:uid="{00000000-0005-0000-0000-000066030000}"/>
    <cellStyle name="Normal 12 5" xfId="2449" xr:uid="{00000000-0005-0000-0000-000067030000}"/>
    <cellStyle name="Normal 120" xfId="691" xr:uid="{00000000-0005-0000-0000-000068030000}"/>
    <cellStyle name="Normal 120 2" xfId="724" xr:uid="{00000000-0005-0000-0000-000069030000}"/>
    <cellStyle name="Normal 120 2 2" xfId="1734" xr:uid="{00000000-0005-0000-0000-00006A030000}"/>
    <cellStyle name="Normal 120 2 3" xfId="2445" xr:uid="{00000000-0005-0000-0000-00006B030000}"/>
    <cellStyle name="Normal 120 3" xfId="918" xr:uid="{00000000-0005-0000-0000-00006C030000}"/>
    <cellStyle name="Normal 120 4" xfId="1733" xr:uid="{00000000-0005-0000-0000-00006D030000}"/>
    <cellStyle name="Normal 120 5" xfId="2446" xr:uid="{00000000-0005-0000-0000-00006E030000}"/>
    <cellStyle name="Normal 121" xfId="690" xr:uid="{00000000-0005-0000-0000-00006F030000}"/>
    <cellStyle name="Normal 121 2" xfId="725" xr:uid="{00000000-0005-0000-0000-000070030000}"/>
    <cellStyle name="Normal 121 2 2" xfId="1736" xr:uid="{00000000-0005-0000-0000-000071030000}"/>
    <cellStyle name="Normal 121 2 3" xfId="2443" xr:uid="{00000000-0005-0000-0000-000072030000}"/>
    <cellStyle name="Normal 121 3" xfId="917" xr:uid="{00000000-0005-0000-0000-000073030000}"/>
    <cellStyle name="Normal 121 4" xfId="1735" xr:uid="{00000000-0005-0000-0000-000074030000}"/>
    <cellStyle name="Normal 121 5" xfId="2444" xr:uid="{00000000-0005-0000-0000-000075030000}"/>
    <cellStyle name="Normal 122" xfId="689" xr:uid="{00000000-0005-0000-0000-000076030000}"/>
    <cellStyle name="Normal 122 2" xfId="726" xr:uid="{00000000-0005-0000-0000-000077030000}"/>
    <cellStyle name="Normal 122 2 2" xfId="1738" xr:uid="{00000000-0005-0000-0000-000078030000}"/>
    <cellStyle name="Normal 122 2 3" xfId="2441" xr:uid="{00000000-0005-0000-0000-000079030000}"/>
    <cellStyle name="Normal 122 3" xfId="916" xr:uid="{00000000-0005-0000-0000-00007A030000}"/>
    <cellStyle name="Normal 122 4" xfId="1737" xr:uid="{00000000-0005-0000-0000-00007B030000}"/>
    <cellStyle name="Normal 122 5" xfId="2442" xr:uid="{00000000-0005-0000-0000-00007C030000}"/>
    <cellStyle name="Normal 123" xfId="694" xr:uid="{00000000-0005-0000-0000-00007D030000}"/>
    <cellStyle name="Normal 123 2" xfId="727" xr:uid="{00000000-0005-0000-0000-00007E030000}"/>
    <cellStyle name="Normal 123 2 2" xfId="1740" xr:uid="{00000000-0005-0000-0000-00007F030000}"/>
    <cellStyle name="Normal 123 2 3" xfId="2439" xr:uid="{00000000-0005-0000-0000-000080030000}"/>
    <cellStyle name="Normal 123 3" xfId="921" xr:uid="{00000000-0005-0000-0000-000081030000}"/>
    <cellStyle name="Normal 123 4" xfId="1739" xr:uid="{00000000-0005-0000-0000-000082030000}"/>
    <cellStyle name="Normal 123 5" xfId="2440" xr:uid="{00000000-0005-0000-0000-000083030000}"/>
    <cellStyle name="Normal 124" xfId="695" xr:uid="{00000000-0005-0000-0000-000084030000}"/>
    <cellStyle name="Normal 124 2" xfId="728" xr:uid="{00000000-0005-0000-0000-000085030000}"/>
    <cellStyle name="Normal 124 2 2" xfId="1742" xr:uid="{00000000-0005-0000-0000-000086030000}"/>
    <cellStyle name="Normal 124 2 3" xfId="2437" xr:uid="{00000000-0005-0000-0000-000087030000}"/>
    <cellStyle name="Normal 124 3" xfId="922" xr:uid="{00000000-0005-0000-0000-000088030000}"/>
    <cellStyle name="Normal 124 4" xfId="1741" xr:uid="{00000000-0005-0000-0000-000089030000}"/>
    <cellStyle name="Normal 124 5" xfId="2438" xr:uid="{00000000-0005-0000-0000-00008A030000}"/>
    <cellStyle name="Normal 125" xfId="692" xr:uid="{00000000-0005-0000-0000-00008B030000}"/>
    <cellStyle name="Normal 125 2" xfId="729" xr:uid="{00000000-0005-0000-0000-00008C030000}"/>
    <cellStyle name="Normal 125 2 2" xfId="1744" xr:uid="{00000000-0005-0000-0000-00008D030000}"/>
    <cellStyle name="Normal 125 2 3" xfId="2435" xr:uid="{00000000-0005-0000-0000-00008E030000}"/>
    <cellStyle name="Normal 125 3" xfId="919" xr:uid="{00000000-0005-0000-0000-00008F030000}"/>
    <cellStyle name="Normal 125 4" xfId="1743" xr:uid="{00000000-0005-0000-0000-000090030000}"/>
    <cellStyle name="Normal 125 5" xfId="2436" xr:uid="{00000000-0005-0000-0000-000091030000}"/>
    <cellStyle name="Normal 126" xfId="693" xr:uid="{00000000-0005-0000-0000-000092030000}"/>
    <cellStyle name="Normal 126 2" xfId="730" xr:uid="{00000000-0005-0000-0000-000093030000}"/>
    <cellStyle name="Normal 126 2 2" xfId="1746" xr:uid="{00000000-0005-0000-0000-000094030000}"/>
    <cellStyle name="Normal 126 2 3" xfId="2433" xr:uid="{00000000-0005-0000-0000-000095030000}"/>
    <cellStyle name="Normal 126 3" xfId="920" xr:uid="{00000000-0005-0000-0000-000096030000}"/>
    <cellStyle name="Normal 126 4" xfId="1745" xr:uid="{00000000-0005-0000-0000-000097030000}"/>
    <cellStyle name="Normal 126 5" xfId="2434" xr:uid="{00000000-0005-0000-0000-000098030000}"/>
    <cellStyle name="Normal 127" xfId="696" xr:uid="{00000000-0005-0000-0000-000099030000}"/>
    <cellStyle name="Normal 127 2" xfId="731" xr:uid="{00000000-0005-0000-0000-00009A030000}"/>
    <cellStyle name="Normal 127 2 2" xfId="1748" xr:uid="{00000000-0005-0000-0000-00009B030000}"/>
    <cellStyle name="Normal 127 2 3" xfId="2431" xr:uid="{00000000-0005-0000-0000-00009C030000}"/>
    <cellStyle name="Normal 127 3" xfId="923" xr:uid="{00000000-0005-0000-0000-00009D030000}"/>
    <cellStyle name="Normal 127 4" xfId="1747" xr:uid="{00000000-0005-0000-0000-00009E030000}"/>
    <cellStyle name="Normal 127 5" xfId="2432" xr:uid="{00000000-0005-0000-0000-00009F030000}"/>
    <cellStyle name="Normal 128" xfId="697" xr:uid="{00000000-0005-0000-0000-0000A0030000}"/>
    <cellStyle name="Normal 128 2" xfId="732" xr:uid="{00000000-0005-0000-0000-0000A1030000}"/>
    <cellStyle name="Normal 128 2 2" xfId="1750" xr:uid="{00000000-0005-0000-0000-0000A2030000}"/>
    <cellStyle name="Normal 128 2 3" xfId="2429" xr:uid="{00000000-0005-0000-0000-0000A3030000}"/>
    <cellStyle name="Normal 128 3" xfId="924" xr:uid="{00000000-0005-0000-0000-0000A4030000}"/>
    <cellStyle name="Normal 128 4" xfId="1749" xr:uid="{00000000-0005-0000-0000-0000A5030000}"/>
    <cellStyle name="Normal 128 5" xfId="2430" xr:uid="{00000000-0005-0000-0000-0000A6030000}"/>
    <cellStyle name="Normal 129" xfId="698" xr:uid="{00000000-0005-0000-0000-0000A7030000}"/>
    <cellStyle name="Normal 129 2" xfId="733" xr:uid="{00000000-0005-0000-0000-0000A8030000}"/>
    <cellStyle name="Normal 129 2 2" xfId="1752" xr:uid="{00000000-0005-0000-0000-0000A9030000}"/>
    <cellStyle name="Normal 129 2 3" xfId="2427" xr:uid="{00000000-0005-0000-0000-0000AA030000}"/>
    <cellStyle name="Normal 129 3" xfId="925" xr:uid="{00000000-0005-0000-0000-0000AB030000}"/>
    <cellStyle name="Normal 129 4" xfId="1751" xr:uid="{00000000-0005-0000-0000-0000AC030000}"/>
    <cellStyle name="Normal 129 5" xfId="2428" xr:uid="{00000000-0005-0000-0000-0000AD030000}"/>
    <cellStyle name="Normal 13" xfId="112" xr:uid="{00000000-0005-0000-0000-0000AE030000}"/>
    <cellStyle name="Normal 13 2" xfId="231" xr:uid="{00000000-0005-0000-0000-0000AF030000}"/>
    <cellStyle name="Normal 13 2 2" xfId="558" xr:uid="{00000000-0005-0000-0000-0000B0030000}"/>
    <cellStyle name="Normal 13 2 3" xfId="422" xr:uid="{00000000-0005-0000-0000-0000B1030000}"/>
    <cellStyle name="Normal 13 3" xfId="230" xr:uid="{00000000-0005-0000-0000-0000B2030000}"/>
    <cellStyle name="Normal 13 3 2" xfId="1753" xr:uid="{00000000-0005-0000-0000-0000B3030000}"/>
    <cellStyle name="Normal 13 3 3" xfId="2426" xr:uid="{00000000-0005-0000-0000-0000B4030000}"/>
    <cellStyle name="Normal 13 4" xfId="534" xr:uid="{00000000-0005-0000-0000-0000B5030000}"/>
    <cellStyle name="Normal 13 5" xfId="1365" xr:uid="{00000000-0005-0000-0000-0000B6030000}"/>
    <cellStyle name="Normal 13 5 2" xfId="1754" xr:uid="{00000000-0005-0000-0000-0000B7030000}"/>
    <cellStyle name="Normal 13 5 3" xfId="2425" xr:uid="{00000000-0005-0000-0000-0000B8030000}"/>
    <cellStyle name="Normal 130" xfId="699" xr:uid="{00000000-0005-0000-0000-0000B9030000}"/>
    <cellStyle name="Normal 130 2" xfId="734" xr:uid="{00000000-0005-0000-0000-0000BA030000}"/>
    <cellStyle name="Normal 130 2 2" xfId="1756" xr:uid="{00000000-0005-0000-0000-0000BB030000}"/>
    <cellStyle name="Normal 130 2 3" xfId="2423" xr:uid="{00000000-0005-0000-0000-0000BC030000}"/>
    <cellStyle name="Normal 130 3" xfId="926" xr:uid="{00000000-0005-0000-0000-0000BD030000}"/>
    <cellStyle name="Normal 130 4" xfId="1755" xr:uid="{00000000-0005-0000-0000-0000BE030000}"/>
    <cellStyle name="Normal 130 5" xfId="2424" xr:uid="{00000000-0005-0000-0000-0000BF030000}"/>
    <cellStyle name="Normal 131" xfId="700" xr:uid="{00000000-0005-0000-0000-0000C0030000}"/>
    <cellStyle name="Normal 131 2" xfId="735" xr:uid="{00000000-0005-0000-0000-0000C1030000}"/>
    <cellStyle name="Normal 131 2 2" xfId="1758" xr:uid="{00000000-0005-0000-0000-0000C2030000}"/>
    <cellStyle name="Normal 131 2 3" xfId="2421" xr:uid="{00000000-0005-0000-0000-0000C3030000}"/>
    <cellStyle name="Normal 131 3" xfId="927" xr:uid="{00000000-0005-0000-0000-0000C4030000}"/>
    <cellStyle name="Normal 131 4" xfId="1757" xr:uid="{00000000-0005-0000-0000-0000C5030000}"/>
    <cellStyle name="Normal 131 5" xfId="2422" xr:uid="{00000000-0005-0000-0000-0000C6030000}"/>
    <cellStyle name="Normal 132" xfId="701" xr:uid="{00000000-0005-0000-0000-0000C7030000}"/>
    <cellStyle name="Normal 132 2" xfId="736" xr:uid="{00000000-0005-0000-0000-0000C8030000}"/>
    <cellStyle name="Normal 132 2 2" xfId="1760" xr:uid="{00000000-0005-0000-0000-0000C9030000}"/>
    <cellStyle name="Normal 132 2 3" xfId="2419" xr:uid="{00000000-0005-0000-0000-0000CA030000}"/>
    <cellStyle name="Normal 132 3" xfId="928" xr:uid="{00000000-0005-0000-0000-0000CB030000}"/>
    <cellStyle name="Normal 132 4" xfId="1759" xr:uid="{00000000-0005-0000-0000-0000CC030000}"/>
    <cellStyle name="Normal 132 5" xfId="2420" xr:uid="{00000000-0005-0000-0000-0000CD030000}"/>
    <cellStyle name="Normal 133" xfId="820" xr:uid="{00000000-0005-0000-0000-0000CE030000}"/>
    <cellStyle name="Normal 133 2" xfId="737" xr:uid="{00000000-0005-0000-0000-0000CF030000}"/>
    <cellStyle name="Normal 133 2 2" xfId="1762" xr:uid="{00000000-0005-0000-0000-0000D0030000}"/>
    <cellStyle name="Normal 133 2 3" xfId="2417" xr:uid="{00000000-0005-0000-0000-0000D1030000}"/>
    <cellStyle name="Normal 133 3" xfId="930" xr:uid="{00000000-0005-0000-0000-0000D2030000}"/>
    <cellStyle name="Normal 133 4" xfId="1761" xr:uid="{00000000-0005-0000-0000-0000D3030000}"/>
    <cellStyle name="Normal 133 5" xfId="2418" xr:uid="{00000000-0005-0000-0000-0000D4030000}"/>
    <cellStyle name="Normal 134" xfId="819" xr:uid="{00000000-0005-0000-0000-0000D5030000}"/>
    <cellStyle name="Normal 134 2" xfId="738" xr:uid="{00000000-0005-0000-0000-0000D6030000}"/>
    <cellStyle name="Normal 134 2 2" xfId="1764" xr:uid="{00000000-0005-0000-0000-0000D7030000}"/>
    <cellStyle name="Normal 134 2 3" xfId="2415" xr:uid="{00000000-0005-0000-0000-0000D8030000}"/>
    <cellStyle name="Normal 134 3" xfId="929" xr:uid="{00000000-0005-0000-0000-0000D9030000}"/>
    <cellStyle name="Normal 134 4" xfId="1763" xr:uid="{00000000-0005-0000-0000-0000DA030000}"/>
    <cellStyle name="Normal 134 5" xfId="2416" xr:uid="{00000000-0005-0000-0000-0000DB030000}"/>
    <cellStyle name="Normal 135" xfId="739" xr:uid="{00000000-0005-0000-0000-0000DC030000}"/>
    <cellStyle name="Normal 135 2" xfId="1765" xr:uid="{00000000-0005-0000-0000-0000DD030000}"/>
    <cellStyle name="Normal 135 3" xfId="2414" xr:uid="{00000000-0005-0000-0000-0000DE030000}"/>
    <cellStyle name="Normal 136" xfId="740" xr:uid="{00000000-0005-0000-0000-0000DF030000}"/>
    <cellStyle name="Normal 136 2" xfId="1766" xr:uid="{00000000-0005-0000-0000-0000E0030000}"/>
    <cellStyle name="Normal 136 3" xfId="2413" xr:uid="{00000000-0005-0000-0000-0000E1030000}"/>
    <cellStyle name="Normal 137" xfId="741" xr:uid="{00000000-0005-0000-0000-0000E2030000}"/>
    <cellStyle name="Normal 137 2" xfId="1767" xr:uid="{00000000-0005-0000-0000-0000E3030000}"/>
    <cellStyle name="Normal 137 3" xfId="2412" xr:uid="{00000000-0005-0000-0000-0000E4030000}"/>
    <cellStyle name="Normal 138" xfId="742" xr:uid="{00000000-0005-0000-0000-0000E5030000}"/>
    <cellStyle name="Normal 138 2" xfId="1768" xr:uid="{00000000-0005-0000-0000-0000E6030000}"/>
    <cellStyle name="Normal 138 3" xfId="2411" xr:uid="{00000000-0005-0000-0000-0000E7030000}"/>
    <cellStyle name="Normal 139" xfId="743" xr:uid="{00000000-0005-0000-0000-0000E8030000}"/>
    <cellStyle name="Normal 139 2" xfId="1769" xr:uid="{00000000-0005-0000-0000-0000E9030000}"/>
    <cellStyle name="Normal 139 3" xfId="2410" xr:uid="{00000000-0005-0000-0000-0000EA030000}"/>
    <cellStyle name="Normal 14" xfId="113" xr:uid="{00000000-0005-0000-0000-0000EB030000}"/>
    <cellStyle name="Normal 14 2" xfId="233" xr:uid="{00000000-0005-0000-0000-0000EC030000}"/>
    <cellStyle name="Normal 14 2 2" xfId="560" xr:uid="{00000000-0005-0000-0000-0000ED030000}"/>
    <cellStyle name="Normal 14 2 3" xfId="423" xr:uid="{00000000-0005-0000-0000-0000EE030000}"/>
    <cellStyle name="Normal 14 2 3 2" xfId="1770" xr:uid="{00000000-0005-0000-0000-0000EF030000}"/>
    <cellStyle name="Normal 14 2 3 3" xfId="2409" xr:uid="{00000000-0005-0000-0000-0000F0030000}"/>
    <cellStyle name="Normal 14 3" xfId="232" xr:uid="{00000000-0005-0000-0000-0000F1030000}"/>
    <cellStyle name="Normal 14 3 2" xfId="559" xr:uid="{00000000-0005-0000-0000-0000F2030000}"/>
    <cellStyle name="Normal 14 3 2 2" xfId="1772" xr:uid="{00000000-0005-0000-0000-0000F3030000}"/>
    <cellStyle name="Normal 14 3 2 3" xfId="2407" xr:uid="{00000000-0005-0000-0000-0000F4030000}"/>
    <cellStyle name="Normal 14 3 3" xfId="424" xr:uid="{00000000-0005-0000-0000-0000F5030000}"/>
    <cellStyle name="Normal 14 3 4" xfId="1771" xr:uid="{00000000-0005-0000-0000-0000F6030000}"/>
    <cellStyle name="Normal 14 3 5" xfId="2408" xr:uid="{00000000-0005-0000-0000-0000F7030000}"/>
    <cellStyle name="Normal 14 4" xfId="535" xr:uid="{00000000-0005-0000-0000-0000F8030000}"/>
    <cellStyle name="Normal 14 5" xfId="2542" xr:uid="{00000000-0005-0000-0000-0000F9030000}"/>
    <cellStyle name="Normal 140" xfId="744" xr:uid="{00000000-0005-0000-0000-0000FA030000}"/>
    <cellStyle name="Normal 140 2" xfId="1773" xr:uid="{00000000-0005-0000-0000-0000FB030000}"/>
    <cellStyle name="Normal 140 3" xfId="2406" xr:uid="{00000000-0005-0000-0000-0000FC030000}"/>
    <cellStyle name="Normal 141" xfId="745" xr:uid="{00000000-0005-0000-0000-0000FD030000}"/>
    <cellStyle name="Normal 141 2" xfId="1774" xr:uid="{00000000-0005-0000-0000-0000FE030000}"/>
    <cellStyle name="Normal 141 3" xfId="2405" xr:uid="{00000000-0005-0000-0000-0000FF030000}"/>
    <cellStyle name="Normal 142" xfId="746" xr:uid="{00000000-0005-0000-0000-000000040000}"/>
    <cellStyle name="Normal 142 2" xfId="1775" xr:uid="{00000000-0005-0000-0000-000001040000}"/>
    <cellStyle name="Normal 142 3" xfId="2404" xr:uid="{00000000-0005-0000-0000-000002040000}"/>
    <cellStyle name="Normal 143" xfId="747" xr:uid="{00000000-0005-0000-0000-000003040000}"/>
    <cellStyle name="Normal 143 2" xfId="1776" xr:uid="{00000000-0005-0000-0000-000004040000}"/>
    <cellStyle name="Normal 143 3" xfId="2403" xr:uid="{00000000-0005-0000-0000-000005040000}"/>
    <cellStyle name="Normal 144" xfId="748" xr:uid="{00000000-0005-0000-0000-000006040000}"/>
    <cellStyle name="Normal 144 2" xfId="1777" xr:uid="{00000000-0005-0000-0000-000007040000}"/>
    <cellStyle name="Normal 144 3" xfId="2402" xr:uid="{00000000-0005-0000-0000-000008040000}"/>
    <cellStyle name="Normal 145" xfId="749" xr:uid="{00000000-0005-0000-0000-000009040000}"/>
    <cellStyle name="Normal 145 2" xfId="1778" xr:uid="{00000000-0005-0000-0000-00000A040000}"/>
    <cellStyle name="Normal 145 3" xfId="2401" xr:uid="{00000000-0005-0000-0000-00000B040000}"/>
    <cellStyle name="Normal 146" xfId="750" xr:uid="{00000000-0005-0000-0000-00000C040000}"/>
    <cellStyle name="Normal 146 2" xfId="1779" xr:uid="{00000000-0005-0000-0000-00000D040000}"/>
    <cellStyle name="Normal 146 3" xfId="2400" xr:uid="{00000000-0005-0000-0000-00000E040000}"/>
    <cellStyle name="Normal 147" xfId="751" xr:uid="{00000000-0005-0000-0000-00000F040000}"/>
    <cellStyle name="Normal 147 2" xfId="1780" xr:uid="{00000000-0005-0000-0000-000010040000}"/>
    <cellStyle name="Normal 147 3" xfId="2399" xr:uid="{00000000-0005-0000-0000-000011040000}"/>
    <cellStyle name="Normal 148" xfId="752" xr:uid="{00000000-0005-0000-0000-000012040000}"/>
    <cellStyle name="Normal 148 2" xfId="1781" xr:uid="{00000000-0005-0000-0000-000013040000}"/>
    <cellStyle name="Normal 148 3" xfId="2398" xr:uid="{00000000-0005-0000-0000-000014040000}"/>
    <cellStyle name="Normal 149" xfId="753" xr:uid="{00000000-0005-0000-0000-000015040000}"/>
    <cellStyle name="Normal 149 2" xfId="1782" xr:uid="{00000000-0005-0000-0000-000016040000}"/>
    <cellStyle name="Normal 149 3" xfId="2397" xr:uid="{00000000-0005-0000-0000-000017040000}"/>
    <cellStyle name="Normal 15" xfId="114" xr:uid="{00000000-0005-0000-0000-000018040000}"/>
    <cellStyle name="Normal 15 2" xfId="536" xr:uid="{00000000-0005-0000-0000-000019040000}"/>
    <cellStyle name="Normal 15 3" xfId="425" xr:uid="{00000000-0005-0000-0000-00001A040000}"/>
    <cellStyle name="Normal 150" xfId="754" xr:uid="{00000000-0005-0000-0000-00001B040000}"/>
    <cellStyle name="Normal 150 2" xfId="1783" xr:uid="{00000000-0005-0000-0000-00001C040000}"/>
    <cellStyle name="Normal 150 3" xfId="2396" xr:uid="{00000000-0005-0000-0000-00001D040000}"/>
    <cellStyle name="Normal 151" xfId="755" xr:uid="{00000000-0005-0000-0000-00001E040000}"/>
    <cellStyle name="Normal 151 2" xfId="1784" xr:uid="{00000000-0005-0000-0000-00001F040000}"/>
    <cellStyle name="Normal 151 3" xfId="2395" xr:uid="{00000000-0005-0000-0000-000020040000}"/>
    <cellStyle name="Normal 152" xfId="756" xr:uid="{00000000-0005-0000-0000-000021040000}"/>
    <cellStyle name="Normal 152 2" xfId="1785" xr:uid="{00000000-0005-0000-0000-000022040000}"/>
    <cellStyle name="Normal 152 3" xfId="2394" xr:uid="{00000000-0005-0000-0000-000023040000}"/>
    <cellStyle name="Normal 153" xfId="757" xr:uid="{00000000-0005-0000-0000-000024040000}"/>
    <cellStyle name="Normal 153 2" xfId="1786" xr:uid="{00000000-0005-0000-0000-000025040000}"/>
    <cellStyle name="Normal 153 3" xfId="2393" xr:uid="{00000000-0005-0000-0000-000026040000}"/>
    <cellStyle name="Normal 154" xfId="758" xr:uid="{00000000-0005-0000-0000-000027040000}"/>
    <cellStyle name="Normal 154 2" xfId="1787" xr:uid="{00000000-0005-0000-0000-000028040000}"/>
    <cellStyle name="Normal 154 3" xfId="2392" xr:uid="{00000000-0005-0000-0000-000029040000}"/>
    <cellStyle name="Normal 155" xfId="759" xr:uid="{00000000-0005-0000-0000-00002A040000}"/>
    <cellStyle name="Normal 155 2" xfId="1788" xr:uid="{00000000-0005-0000-0000-00002B040000}"/>
    <cellStyle name="Normal 155 3" xfId="2391" xr:uid="{00000000-0005-0000-0000-00002C040000}"/>
    <cellStyle name="Normal 156" xfId="760" xr:uid="{00000000-0005-0000-0000-00002D040000}"/>
    <cellStyle name="Normal 156 2" xfId="1789" xr:uid="{00000000-0005-0000-0000-00002E040000}"/>
    <cellStyle name="Normal 156 3" xfId="2390" xr:uid="{00000000-0005-0000-0000-00002F040000}"/>
    <cellStyle name="Normal 157" xfId="761" xr:uid="{00000000-0005-0000-0000-000030040000}"/>
    <cellStyle name="Normal 157 2" xfId="1790" xr:uid="{00000000-0005-0000-0000-000031040000}"/>
    <cellStyle name="Normal 157 3" xfId="2389" xr:uid="{00000000-0005-0000-0000-000032040000}"/>
    <cellStyle name="Normal 158" xfId="762" xr:uid="{00000000-0005-0000-0000-000033040000}"/>
    <cellStyle name="Normal 158 2" xfId="1791" xr:uid="{00000000-0005-0000-0000-000034040000}"/>
    <cellStyle name="Normal 158 3" xfId="2388" xr:uid="{00000000-0005-0000-0000-000035040000}"/>
    <cellStyle name="Normal 159" xfId="763" xr:uid="{00000000-0005-0000-0000-000036040000}"/>
    <cellStyle name="Normal 159 2" xfId="1792" xr:uid="{00000000-0005-0000-0000-000037040000}"/>
    <cellStyle name="Normal 159 3" xfId="2387" xr:uid="{00000000-0005-0000-0000-000038040000}"/>
    <cellStyle name="Normal 16" xfId="115" xr:uid="{00000000-0005-0000-0000-000039040000}"/>
    <cellStyle name="Normal 16 2" xfId="427" xr:uid="{00000000-0005-0000-0000-00003A040000}"/>
    <cellStyle name="Normal 16 2 2" xfId="1793" xr:uid="{00000000-0005-0000-0000-00003B040000}"/>
    <cellStyle name="Normal 16 2 3" xfId="2386" xr:uid="{00000000-0005-0000-0000-00003C040000}"/>
    <cellStyle name="Normal 16 3" xfId="537" xr:uid="{00000000-0005-0000-0000-00003D040000}"/>
    <cellStyle name="Normal 16 4" xfId="426" xr:uid="{00000000-0005-0000-0000-00003E040000}"/>
    <cellStyle name="Normal 16 4 2" xfId="1794" xr:uid="{00000000-0005-0000-0000-00003F040000}"/>
    <cellStyle name="Normal 16 4 3" xfId="2649" xr:uid="{00000000-0005-0000-0000-000040040000}"/>
    <cellStyle name="Normal 160" xfId="764" xr:uid="{00000000-0005-0000-0000-000041040000}"/>
    <cellStyle name="Normal 160 2" xfId="1795" xr:uid="{00000000-0005-0000-0000-000042040000}"/>
    <cellStyle name="Normal 160 3" xfId="2385" xr:uid="{00000000-0005-0000-0000-000043040000}"/>
    <cellStyle name="Normal 161" xfId="765" xr:uid="{00000000-0005-0000-0000-000044040000}"/>
    <cellStyle name="Normal 161 2" xfId="1796" xr:uid="{00000000-0005-0000-0000-000045040000}"/>
    <cellStyle name="Normal 161 3" xfId="2648" xr:uid="{00000000-0005-0000-0000-000046040000}"/>
    <cellStyle name="Normal 162" xfId="766" xr:uid="{00000000-0005-0000-0000-000047040000}"/>
    <cellStyle name="Normal 162 2" xfId="1797" xr:uid="{00000000-0005-0000-0000-000048040000}"/>
    <cellStyle name="Normal 162 3" xfId="2384" xr:uid="{00000000-0005-0000-0000-000049040000}"/>
    <cellStyle name="Normal 163" xfId="767" xr:uid="{00000000-0005-0000-0000-00004A040000}"/>
    <cellStyle name="Normal 163 2" xfId="1798" xr:uid="{00000000-0005-0000-0000-00004B040000}"/>
    <cellStyle name="Normal 163 3" xfId="2383" xr:uid="{00000000-0005-0000-0000-00004C040000}"/>
    <cellStyle name="Normal 164" xfId="768" xr:uid="{00000000-0005-0000-0000-00004D040000}"/>
    <cellStyle name="Normal 164 2" xfId="1799" xr:uid="{00000000-0005-0000-0000-00004E040000}"/>
    <cellStyle name="Normal 164 3" xfId="2382" xr:uid="{00000000-0005-0000-0000-00004F040000}"/>
    <cellStyle name="Normal 165" xfId="769" xr:uid="{00000000-0005-0000-0000-000050040000}"/>
    <cellStyle name="Normal 165 2" xfId="1800" xr:uid="{00000000-0005-0000-0000-000051040000}"/>
    <cellStyle name="Normal 165 3" xfId="2381" xr:uid="{00000000-0005-0000-0000-000052040000}"/>
    <cellStyle name="Normal 166" xfId="770" xr:uid="{00000000-0005-0000-0000-000053040000}"/>
    <cellStyle name="Normal 166 2" xfId="1801" xr:uid="{00000000-0005-0000-0000-000054040000}"/>
    <cellStyle name="Normal 166 3" xfId="2380" xr:uid="{00000000-0005-0000-0000-000055040000}"/>
    <cellStyle name="Normal 167" xfId="771" xr:uid="{00000000-0005-0000-0000-000056040000}"/>
    <cellStyle name="Normal 167 2" xfId="1802" xr:uid="{00000000-0005-0000-0000-000057040000}"/>
    <cellStyle name="Normal 167 3" xfId="2647" xr:uid="{00000000-0005-0000-0000-000058040000}"/>
    <cellStyle name="Normal 168" xfId="772" xr:uid="{00000000-0005-0000-0000-000059040000}"/>
    <cellStyle name="Normal 169" xfId="773" xr:uid="{00000000-0005-0000-0000-00005A040000}"/>
    <cellStyle name="Normal 17" xfId="116" xr:uid="{00000000-0005-0000-0000-00005B040000}"/>
    <cellStyle name="Normal 17 2" xfId="538" xr:uid="{00000000-0005-0000-0000-00005C040000}"/>
    <cellStyle name="Normal 17 3" xfId="428" xr:uid="{00000000-0005-0000-0000-00005D040000}"/>
    <cellStyle name="Normal 170" xfId="774" xr:uid="{00000000-0005-0000-0000-00005E040000}"/>
    <cellStyle name="Normal 170 2" xfId="1803" xr:uid="{00000000-0005-0000-0000-00005F040000}"/>
    <cellStyle name="Normal 170 3" xfId="2379" xr:uid="{00000000-0005-0000-0000-000060040000}"/>
    <cellStyle name="Normal 171" xfId="775" xr:uid="{00000000-0005-0000-0000-000061040000}"/>
    <cellStyle name="Normal 171 2" xfId="1804" xr:uid="{00000000-0005-0000-0000-000062040000}"/>
    <cellStyle name="Normal 171 3" xfId="2378" xr:uid="{00000000-0005-0000-0000-000063040000}"/>
    <cellStyle name="Normal 172" xfId="776" xr:uid="{00000000-0005-0000-0000-000064040000}"/>
    <cellStyle name="Normal 172 2" xfId="1805" xr:uid="{00000000-0005-0000-0000-000065040000}"/>
    <cellStyle name="Normal 172 3" xfId="2377" xr:uid="{00000000-0005-0000-0000-000066040000}"/>
    <cellStyle name="Normal 173" xfId="777" xr:uid="{00000000-0005-0000-0000-000067040000}"/>
    <cellStyle name="Normal 173 2" xfId="1806" xr:uid="{00000000-0005-0000-0000-000068040000}"/>
    <cellStyle name="Normal 173 3" xfId="2376" xr:uid="{00000000-0005-0000-0000-000069040000}"/>
    <cellStyle name="Normal 174" xfId="778" xr:uid="{00000000-0005-0000-0000-00006A040000}"/>
    <cellStyle name="Normal 174 2" xfId="1807" xr:uid="{00000000-0005-0000-0000-00006B040000}"/>
    <cellStyle name="Normal 174 3" xfId="2375" xr:uid="{00000000-0005-0000-0000-00006C040000}"/>
    <cellStyle name="Normal 175" xfId="779" xr:uid="{00000000-0005-0000-0000-00006D040000}"/>
    <cellStyle name="Normal 175 2" xfId="1808" xr:uid="{00000000-0005-0000-0000-00006E040000}"/>
    <cellStyle name="Normal 175 3" xfId="2374" xr:uid="{00000000-0005-0000-0000-00006F040000}"/>
    <cellStyle name="Normal 176" xfId="780" xr:uid="{00000000-0005-0000-0000-000070040000}"/>
    <cellStyle name="Normal 176 2" xfId="1809" xr:uid="{00000000-0005-0000-0000-000071040000}"/>
    <cellStyle name="Normal 176 3" xfId="2373" xr:uid="{00000000-0005-0000-0000-000072040000}"/>
    <cellStyle name="Normal 177" xfId="781" xr:uid="{00000000-0005-0000-0000-000073040000}"/>
    <cellStyle name="Normal 177 2" xfId="1810" xr:uid="{00000000-0005-0000-0000-000074040000}"/>
    <cellStyle name="Normal 177 3" xfId="2644" xr:uid="{00000000-0005-0000-0000-000075040000}"/>
    <cellStyle name="Normal 178" xfId="782" xr:uid="{00000000-0005-0000-0000-000076040000}"/>
    <cellStyle name="Normal 178 2" xfId="1811" xr:uid="{00000000-0005-0000-0000-000077040000}"/>
    <cellStyle name="Normal 178 3" xfId="2372" xr:uid="{00000000-0005-0000-0000-000078040000}"/>
    <cellStyle name="Normal 179" xfId="783" xr:uid="{00000000-0005-0000-0000-000079040000}"/>
    <cellStyle name="Normal 179 2" xfId="1812" xr:uid="{00000000-0005-0000-0000-00007A040000}"/>
    <cellStyle name="Normal 179 3" xfId="2371" xr:uid="{00000000-0005-0000-0000-00007B040000}"/>
    <cellStyle name="Normal 18" xfId="117" xr:uid="{00000000-0005-0000-0000-00007C040000}"/>
    <cellStyle name="Normal 18 2" xfId="430" xr:uid="{00000000-0005-0000-0000-00007D040000}"/>
    <cellStyle name="Normal 18 2 2" xfId="431" xr:uid="{00000000-0005-0000-0000-00007E040000}"/>
    <cellStyle name="Normal 18 2 2 2" xfId="1814" xr:uid="{00000000-0005-0000-0000-00007F040000}"/>
    <cellStyle name="Normal 18 2 2 3" xfId="2370" xr:uid="{00000000-0005-0000-0000-000080040000}"/>
    <cellStyle name="Normal 18 2 3" xfId="1813" xr:uid="{00000000-0005-0000-0000-000081040000}"/>
    <cellStyle name="Normal 18 2 4" xfId="2645" xr:uid="{00000000-0005-0000-0000-000082040000}"/>
    <cellStyle name="Normal 18 3" xfId="539" xr:uid="{00000000-0005-0000-0000-000083040000}"/>
    <cellStyle name="Normal 18 4" xfId="429" xr:uid="{00000000-0005-0000-0000-000084040000}"/>
    <cellStyle name="Normal 18 4 2" xfId="1815" xr:uid="{00000000-0005-0000-0000-000085040000}"/>
    <cellStyle name="Normal 18 4 3" xfId="2369" xr:uid="{00000000-0005-0000-0000-000086040000}"/>
    <cellStyle name="Normal 180" xfId="784" xr:uid="{00000000-0005-0000-0000-000087040000}"/>
    <cellStyle name="Normal 180 2" xfId="1816" xr:uid="{00000000-0005-0000-0000-000088040000}"/>
    <cellStyle name="Normal 180 3" xfId="2368" xr:uid="{00000000-0005-0000-0000-000089040000}"/>
    <cellStyle name="Normal 181" xfId="785" xr:uid="{00000000-0005-0000-0000-00008A040000}"/>
    <cellStyle name="Normal 181 2" xfId="1817" xr:uid="{00000000-0005-0000-0000-00008B040000}"/>
    <cellStyle name="Normal 181 3" xfId="2367" xr:uid="{00000000-0005-0000-0000-00008C040000}"/>
    <cellStyle name="Normal 182" xfId="786" xr:uid="{00000000-0005-0000-0000-00008D040000}"/>
    <cellStyle name="Normal 182 2" xfId="1818" xr:uid="{00000000-0005-0000-0000-00008E040000}"/>
    <cellStyle name="Normal 182 3" xfId="2643" xr:uid="{00000000-0005-0000-0000-00008F040000}"/>
    <cellStyle name="Normal 183" xfId="787" xr:uid="{00000000-0005-0000-0000-000090040000}"/>
    <cellStyle name="Normal 183 2" xfId="1819" xr:uid="{00000000-0005-0000-0000-000091040000}"/>
    <cellStyle name="Normal 183 3" xfId="2366" xr:uid="{00000000-0005-0000-0000-000092040000}"/>
    <cellStyle name="Normal 184" xfId="788" xr:uid="{00000000-0005-0000-0000-000093040000}"/>
    <cellStyle name="Normal 184 2" xfId="1820" xr:uid="{00000000-0005-0000-0000-000094040000}"/>
    <cellStyle name="Normal 184 3" xfId="2642" xr:uid="{00000000-0005-0000-0000-000095040000}"/>
    <cellStyle name="Normal 185" xfId="789" xr:uid="{00000000-0005-0000-0000-000096040000}"/>
    <cellStyle name="Normal 185 2" xfId="1821" xr:uid="{00000000-0005-0000-0000-000097040000}"/>
    <cellStyle name="Normal 185 3" xfId="2365" xr:uid="{00000000-0005-0000-0000-000098040000}"/>
    <cellStyle name="Normal 186" xfId="790" xr:uid="{00000000-0005-0000-0000-000099040000}"/>
    <cellStyle name="Normal 186 2" xfId="1822" xr:uid="{00000000-0005-0000-0000-00009A040000}"/>
    <cellStyle name="Normal 186 3" xfId="2641" xr:uid="{00000000-0005-0000-0000-00009B040000}"/>
    <cellStyle name="Normal 187" xfId="791" xr:uid="{00000000-0005-0000-0000-00009C040000}"/>
    <cellStyle name="Normal 187 2" xfId="1823" xr:uid="{00000000-0005-0000-0000-00009D040000}"/>
    <cellStyle name="Normal 187 3" xfId="2364" xr:uid="{00000000-0005-0000-0000-00009E040000}"/>
    <cellStyle name="Normal 188" xfId="792" xr:uid="{00000000-0005-0000-0000-00009F040000}"/>
    <cellStyle name="Normal 188 2" xfId="1824" xr:uid="{00000000-0005-0000-0000-0000A0040000}"/>
    <cellStyle name="Normal 188 3" xfId="2638" xr:uid="{00000000-0005-0000-0000-0000A1040000}"/>
    <cellStyle name="Normal 189" xfId="793" xr:uid="{00000000-0005-0000-0000-0000A2040000}"/>
    <cellStyle name="Normal 189 2" xfId="1825" xr:uid="{00000000-0005-0000-0000-0000A3040000}"/>
    <cellStyle name="Normal 189 3" xfId="2363" xr:uid="{00000000-0005-0000-0000-0000A4040000}"/>
    <cellStyle name="Normal 19" xfId="118" xr:uid="{00000000-0005-0000-0000-0000A5040000}"/>
    <cellStyle name="Normal 19 2" xfId="540" xr:uid="{00000000-0005-0000-0000-0000A6040000}"/>
    <cellStyle name="Normal 19 3" xfId="432" xr:uid="{00000000-0005-0000-0000-0000A7040000}"/>
    <cellStyle name="Normal 19 3 2" xfId="1826" xr:uid="{00000000-0005-0000-0000-0000A8040000}"/>
    <cellStyle name="Normal 19 3 3" xfId="2362" xr:uid="{00000000-0005-0000-0000-0000A9040000}"/>
    <cellStyle name="Normal 190" xfId="794" xr:uid="{00000000-0005-0000-0000-0000AA040000}"/>
    <cellStyle name="Normal 190 2" xfId="1827" xr:uid="{00000000-0005-0000-0000-0000AB040000}"/>
    <cellStyle name="Normal 190 3" xfId="2361" xr:uid="{00000000-0005-0000-0000-0000AC040000}"/>
    <cellStyle name="Normal 191" xfId="795" xr:uid="{00000000-0005-0000-0000-0000AD040000}"/>
    <cellStyle name="Normal 191 2" xfId="1828" xr:uid="{00000000-0005-0000-0000-0000AE040000}"/>
    <cellStyle name="Normal 191 3" xfId="2360" xr:uid="{00000000-0005-0000-0000-0000AF040000}"/>
    <cellStyle name="Normal 192" xfId="796" xr:uid="{00000000-0005-0000-0000-0000B0040000}"/>
    <cellStyle name="Normal 192 2" xfId="1829" xr:uid="{00000000-0005-0000-0000-0000B1040000}"/>
    <cellStyle name="Normal 192 3" xfId="2640" xr:uid="{00000000-0005-0000-0000-0000B2040000}"/>
    <cellStyle name="Normal 193" xfId="797" xr:uid="{00000000-0005-0000-0000-0000B3040000}"/>
    <cellStyle name="Normal 193 2" xfId="1830" xr:uid="{00000000-0005-0000-0000-0000B4040000}"/>
    <cellStyle name="Normal 193 3" xfId="2359" xr:uid="{00000000-0005-0000-0000-0000B5040000}"/>
    <cellStyle name="Normal 194" xfId="798" xr:uid="{00000000-0005-0000-0000-0000B6040000}"/>
    <cellStyle name="Normal 194 2" xfId="1831" xr:uid="{00000000-0005-0000-0000-0000B7040000}"/>
    <cellStyle name="Normal 194 3" xfId="2358" xr:uid="{00000000-0005-0000-0000-0000B8040000}"/>
    <cellStyle name="Normal 195" xfId="799" xr:uid="{00000000-0005-0000-0000-0000B9040000}"/>
    <cellStyle name="Normal 195 2" xfId="1832" xr:uid="{00000000-0005-0000-0000-0000BA040000}"/>
    <cellStyle name="Normal 195 3" xfId="2357" xr:uid="{00000000-0005-0000-0000-0000BB040000}"/>
    <cellStyle name="Normal 196" xfId="800" xr:uid="{00000000-0005-0000-0000-0000BC040000}"/>
    <cellStyle name="Normal 196 2" xfId="1833" xr:uid="{00000000-0005-0000-0000-0000BD040000}"/>
    <cellStyle name="Normal 196 3" xfId="2639" xr:uid="{00000000-0005-0000-0000-0000BE040000}"/>
    <cellStyle name="Normal 197" xfId="801" xr:uid="{00000000-0005-0000-0000-0000BF040000}"/>
    <cellStyle name="Normal 197 2" xfId="1834" xr:uid="{00000000-0005-0000-0000-0000C0040000}"/>
    <cellStyle name="Normal 197 3" xfId="2356" xr:uid="{00000000-0005-0000-0000-0000C1040000}"/>
    <cellStyle name="Normal 198" xfId="802" xr:uid="{00000000-0005-0000-0000-0000C2040000}"/>
    <cellStyle name="Normal 198 2" xfId="1835" xr:uid="{00000000-0005-0000-0000-0000C3040000}"/>
    <cellStyle name="Normal 198 3" xfId="2355" xr:uid="{00000000-0005-0000-0000-0000C4040000}"/>
    <cellStyle name="Normal 199" xfId="803" xr:uid="{00000000-0005-0000-0000-0000C5040000}"/>
    <cellStyle name="Normal 199 2" xfId="1836" xr:uid="{00000000-0005-0000-0000-0000C6040000}"/>
    <cellStyle name="Normal 199 3" xfId="2354" xr:uid="{00000000-0005-0000-0000-0000C7040000}"/>
    <cellStyle name="Normal 2" xfId="2" xr:uid="{00000000-0005-0000-0000-0000C8040000}"/>
    <cellStyle name="Normal 2 10" xfId="2637" xr:uid="{00000000-0005-0000-0000-0000C9040000}"/>
    <cellStyle name="Normal 2 2" xfId="119" xr:uid="{00000000-0005-0000-0000-0000CA040000}"/>
    <cellStyle name="Normal 2 2 2" xfId="120" xr:uid="{00000000-0005-0000-0000-0000CB040000}"/>
    <cellStyle name="Normal 2 2 2 2" xfId="179" xr:uid="{00000000-0005-0000-0000-0000CC040000}"/>
    <cellStyle name="Normal 2 2 2 3" xfId="2540" xr:uid="{00000000-0005-0000-0000-0000CD040000}"/>
    <cellStyle name="Normal 2 2 3" xfId="180" xr:uid="{00000000-0005-0000-0000-0000CE040000}"/>
    <cellStyle name="Normal 2 2 3 2" xfId="550" xr:uid="{00000000-0005-0000-0000-0000CF040000}"/>
    <cellStyle name="Normal 2 2 3 3" xfId="433" xr:uid="{00000000-0005-0000-0000-0000D0040000}"/>
    <cellStyle name="Normal 2 2 3 3 2" xfId="1838" xr:uid="{00000000-0005-0000-0000-0000D1040000}"/>
    <cellStyle name="Normal 2 2 3 3 3" xfId="2353" xr:uid="{00000000-0005-0000-0000-0000D2040000}"/>
    <cellStyle name="Normal 2 2 4" xfId="181" xr:uid="{00000000-0005-0000-0000-0000D3040000}"/>
    <cellStyle name="Normal 2 2 4 2" xfId="1839" xr:uid="{00000000-0005-0000-0000-0000D4040000}"/>
    <cellStyle name="Normal 2 2 4 3" xfId="2352" xr:uid="{00000000-0005-0000-0000-0000D5040000}"/>
    <cellStyle name="Normal 2 2 5" xfId="223" xr:uid="{00000000-0005-0000-0000-0000D6040000}"/>
    <cellStyle name="Normal 2 2 6" xfId="541" xr:uid="{00000000-0005-0000-0000-0000D7040000}"/>
    <cellStyle name="Normal 2 2 7" xfId="2539" xr:uid="{00000000-0005-0000-0000-0000D8040000}"/>
    <cellStyle name="Normal 2 3" xfId="121" xr:uid="{00000000-0005-0000-0000-0000D9040000}"/>
    <cellStyle name="Normal 2 3 2" xfId="182" xr:uid="{00000000-0005-0000-0000-0000DA040000}"/>
    <cellStyle name="Normal 2 4" xfId="122" xr:uid="{00000000-0005-0000-0000-0000DB040000}"/>
    <cellStyle name="Normal 2 5" xfId="219" xr:uid="{00000000-0005-0000-0000-0000DC040000}"/>
    <cellStyle name="Normal 2 6" xfId="217" xr:uid="{00000000-0005-0000-0000-0000DD040000}"/>
    <cellStyle name="Normal 2 7" xfId="944" xr:uid="{00000000-0005-0000-0000-0000DE040000}"/>
    <cellStyle name="Normal 2 8" xfId="1370" xr:uid="{00000000-0005-0000-0000-0000DF040000}"/>
    <cellStyle name="Normal 2 9" xfId="1837" xr:uid="{00000000-0005-0000-0000-0000E0040000}"/>
    <cellStyle name="Normal 20" xfId="123" xr:uid="{00000000-0005-0000-0000-0000E1040000}"/>
    <cellStyle name="Normal 20 2" xfId="542" xr:uid="{00000000-0005-0000-0000-0000E2040000}"/>
    <cellStyle name="Normal 20 3" xfId="434" xr:uid="{00000000-0005-0000-0000-0000E3040000}"/>
    <cellStyle name="Normal 20 3 2" xfId="1840" xr:uid="{00000000-0005-0000-0000-0000E4040000}"/>
    <cellStyle name="Normal 20 3 3" xfId="2351" xr:uid="{00000000-0005-0000-0000-0000E5040000}"/>
    <cellStyle name="Normal 200" xfId="804" xr:uid="{00000000-0005-0000-0000-0000E6040000}"/>
    <cellStyle name="Normal 200 2" xfId="1841" xr:uid="{00000000-0005-0000-0000-0000E7040000}"/>
    <cellStyle name="Normal 200 3" xfId="2350" xr:uid="{00000000-0005-0000-0000-0000E8040000}"/>
    <cellStyle name="Normal 201" xfId="805" xr:uid="{00000000-0005-0000-0000-0000E9040000}"/>
    <cellStyle name="Normal 201 2" xfId="1842" xr:uid="{00000000-0005-0000-0000-0000EA040000}"/>
    <cellStyle name="Normal 201 3" xfId="2349" xr:uid="{00000000-0005-0000-0000-0000EB040000}"/>
    <cellStyle name="Normal 202" xfId="806" xr:uid="{00000000-0005-0000-0000-0000EC040000}"/>
    <cellStyle name="Normal 202 2" xfId="1843" xr:uid="{00000000-0005-0000-0000-0000ED040000}"/>
    <cellStyle name="Normal 202 3" xfId="2348" xr:uid="{00000000-0005-0000-0000-0000EE040000}"/>
    <cellStyle name="Normal 203" xfId="807" xr:uid="{00000000-0005-0000-0000-0000EF040000}"/>
    <cellStyle name="Normal 203 2" xfId="1844" xr:uid="{00000000-0005-0000-0000-0000F0040000}"/>
    <cellStyle name="Normal 203 3" xfId="2347" xr:uid="{00000000-0005-0000-0000-0000F1040000}"/>
    <cellStyle name="Normal 204" xfId="808" xr:uid="{00000000-0005-0000-0000-0000F2040000}"/>
    <cellStyle name="Normal 204 2" xfId="1845" xr:uid="{00000000-0005-0000-0000-0000F3040000}"/>
    <cellStyle name="Normal 204 3" xfId="2346" xr:uid="{00000000-0005-0000-0000-0000F4040000}"/>
    <cellStyle name="Normal 205" xfId="809" xr:uid="{00000000-0005-0000-0000-0000F5040000}"/>
    <cellStyle name="Normal 205 2" xfId="1846" xr:uid="{00000000-0005-0000-0000-0000F6040000}"/>
    <cellStyle name="Normal 205 3" xfId="2345" xr:uid="{00000000-0005-0000-0000-0000F7040000}"/>
    <cellStyle name="Normal 206" xfId="810" xr:uid="{00000000-0005-0000-0000-0000F8040000}"/>
    <cellStyle name="Normal 206 2" xfId="1847" xr:uid="{00000000-0005-0000-0000-0000F9040000}"/>
    <cellStyle name="Normal 206 3" xfId="2344" xr:uid="{00000000-0005-0000-0000-0000FA040000}"/>
    <cellStyle name="Normal 207" xfId="811" xr:uid="{00000000-0005-0000-0000-0000FB040000}"/>
    <cellStyle name="Normal 207 2" xfId="1848" xr:uid="{00000000-0005-0000-0000-0000FC040000}"/>
    <cellStyle name="Normal 207 3" xfId="2635" xr:uid="{00000000-0005-0000-0000-0000FD040000}"/>
    <cellStyle name="Normal 208" xfId="812" xr:uid="{00000000-0005-0000-0000-0000FE040000}"/>
    <cellStyle name="Normal 208 2" xfId="1849" xr:uid="{00000000-0005-0000-0000-0000FF040000}"/>
    <cellStyle name="Normal 208 3" xfId="2343" xr:uid="{00000000-0005-0000-0000-000000050000}"/>
    <cellStyle name="Normal 209" xfId="813" xr:uid="{00000000-0005-0000-0000-000001050000}"/>
    <cellStyle name="Normal 209 2" xfId="1850" xr:uid="{00000000-0005-0000-0000-000002050000}"/>
    <cellStyle name="Normal 209 3" xfId="2342" xr:uid="{00000000-0005-0000-0000-000003050000}"/>
    <cellStyle name="Normal 21" xfId="124" xr:uid="{00000000-0005-0000-0000-000004050000}"/>
    <cellStyle name="Normal 21 2" xfId="543" xr:uid="{00000000-0005-0000-0000-000005050000}"/>
    <cellStyle name="Normal 21 3" xfId="435" xr:uid="{00000000-0005-0000-0000-000006050000}"/>
    <cellStyle name="Normal 21 3 2" xfId="1851" xr:uid="{00000000-0005-0000-0000-000007050000}"/>
    <cellStyle name="Normal 21 3 3" xfId="2341" xr:uid="{00000000-0005-0000-0000-000008050000}"/>
    <cellStyle name="Normal 210" xfId="814" xr:uid="{00000000-0005-0000-0000-000009050000}"/>
    <cellStyle name="Normal 210 2" xfId="1852" xr:uid="{00000000-0005-0000-0000-00000A050000}"/>
    <cellStyle name="Normal 210 3" xfId="2340" xr:uid="{00000000-0005-0000-0000-00000B050000}"/>
    <cellStyle name="Normal 211" xfId="815" xr:uid="{00000000-0005-0000-0000-00000C050000}"/>
    <cellStyle name="Normal 211 2" xfId="1853" xr:uid="{00000000-0005-0000-0000-00000D050000}"/>
    <cellStyle name="Normal 211 3" xfId="2339" xr:uid="{00000000-0005-0000-0000-00000E050000}"/>
    <cellStyle name="Normal 212" xfId="816" xr:uid="{00000000-0005-0000-0000-00000F050000}"/>
    <cellStyle name="Normal 212 2" xfId="1854" xr:uid="{00000000-0005-0000-0000-000010050000}"/>
    <cellStyle name="Normal 212 3" xfId="2338" xr:uid="{00000000-0005-0000-0000-000011050000}"/>
    <cellStyle name="Normal 213" xfId="817" xr:uid="{00000000-0005-0000-0000-000012050000}"/>
    <cellStyle name="Normal 213 2" xfId="1855" xr:uid="{00000000-0005-0000-0000-000013050000}"/>
    <cellStyle name="Normal 213 3" xfId="2337" xr:uid="{00000000-0005-0000-0000-000014050000}"/>
    <cellStyle name="Normal 214" xfId="822" xr:uid="{00000000-0005-0000-0000-000015050000}"/>
    <cellStyle name="Normal 215" xfId="838" xr:uid="{00000000-0005-0000-0000-000016050000}"/>
    <cellStyle name="Normal 216" xfId="821" xr:uid="{00000000-0005-0000-0000-000017050000}"/>
    <cellStyle name="Normal 217" xfId="837" xr:uid="{00000000-0005-0000-0000-000018050000}"/>
    <cellStyle name="Normal 218" xfId="836" xr:uid="{00000000-0005-0000-0000-000019050000}"/>
    <cellStyle name="Normal 219" xfId="847" xr:uid="{00000000-0005-0000-0000-00001A050000}"/>
    <cellStyle name="Normal 22" xfId="171" xr:uid="{00000000-0005-0000-0000-00001B050000}"/>
    <cellStyle name="Normal 22 2" xfId="546" xr:uid="{00000000-0005-0000-0000-00001C050000}"/>
    <cellStyle name="Normal 22 3" xfId="436" xr:uid="{00000000-0005-0000-0000-00001D050000}"/>
    <cellStyle name="Normal 22 3 2" xfId="1856" xr:uid="{00000000-0005-0000-0000-00001E050000}"/>
    <cellStyle name="Normal 22 3 3" xfId="2336" xr:uid="{00000000-0005-0000-0000-00001F050000}"/>
    <cellStyle name="Normal 220" xfId="848" xr:uid="{00000000-0005-0000-0000-000020050000}"/>
    <cellStyle name="Normal 221" xfId="849" xr:uid="{00000000-0005-0000-0000-000021050000}"/>
    <cellStyle name="Normal 222" xfId="850" xr:uid="{00000000-0005-0000-0000-000022050000}"/>
    <cellStyle name="Normal 223" xfId="839" xr:uid="{00000000-0005-0000-0000-000023050000}"/>
    <cellStyle name="Normal 224" xfId="851" xr:uid="{00000000-0005-0000-0000-000024050000}"/>
    <cellStyle name="Normal 225" xfId="854" xr:uid="{00000000-0005-0000-0000-000025050000}"/>
    <cellStyle name="Normal 226" xfId="855" xr:uid="{00000000-0005-0000-0000-000026050000}"/>
    <cellStyle name="Normal 227" xfId="856" xr:uid="{00000000-0005-0000-0000-000027050000}"/>
    <cellStyle name="Normal 228" xfId="867" xr:uid="{00000000-0005-0000-0000-000028050000}"/>
    <cellStyle name="Normal 228 2" xfId="1857" xr:uid="{00000000-0005-0000-0000-000029050000}"/>
    <cellStyle name="Normal 228 3" xfId="2335" xr:uid="{00000000-0005-0000-0000-00002A050000}"/>
    <cellStyle name="Normal 229" xfId="870" xr:uid="{00000000-0005-0000-0000-00002B050000}"/>
    <cellStyle name="Normal 229 2" xfId="946" xr:uid="{00000000-0005-0000-0000-00002C050000}"/>
    <cellStyle name="Normal 229 3" xfId="945" xr:uid="{00000000-0005-0000-0000-00002D050000}"/>
    <cellStyle name="Normal 229 3 2" xfId="1858" xr:uid="{00000000-0005-0000-0000-00002E050000}"/>
    <cellStyle name="Normal 229 3 3" xfId="2334" xr:uid="{00000000-0005-0000-0000-00002F050000}"/>
    <cellStyle name="Normal 23" xfId="190" xr:uid="{00000000-0005-0000-0000-000030050000}"/>
    <cellStyle name="Normal 230" xfId="868" xr:uid="{00000000-0005-0000-0000-000031050000}"/>
    <cellStyle name="Normal 230 2" xfId="948" xr:uid="{00000000-0005-0000-0000-000032050000}"/>
    <cellStyle name="Normal 230 3" xfId="947" xr:uid="{00000000-0005-0000-0000-000033050000}"/>
    <cellStyle name="Normal 230 3 2" xfId="1859" xr:uid="{00000000-0005-0000-0000-000034050000}"/>
    <cellStyle name="Normal 230 3 3" xfId="2333" xr:uid="{00000000-0005-0000-0000-000035050000}"/>
    <cellStyle name="Normal 231" xfId="932" xr:uid="{00000000-0005-0000-0000-000036050000}"/>
    <cellStyle name="Normal 231 2" xfId="950" xr:uid="{00000000-0005-0000-0000-000037050000}"/>
    <cellStyle name="Normal 231 3" xfId="949" xr:uid="{00000000-0005-0000-0000-000038050000}"/>
    <cellStyle name="Normal 231 3 2" xfId="1860" xr:uid="{00000000-0005-0000-0000-000039050000}"/>
    <cellStyle name="Normal 231 3 3" xfId="2332" xr:uid="{00000000-0005-0000-0000-00003A050000}"/>
    <cellStyle name="Normal 232" xfId="933" xr:uid="{00000000-0005-0000-0000-00003B050000}"/>
    <cellStyle name="Normal 232 2" xfId="952" xr:uid="{00000000-0005-0000-0000-00003C050000}"/>
    <cellStyle name="Normal 232 3" xfId="951" xr:uid="{00000000-0005-0000-0000-00003D050000}"/>
    <cellStyle name="Normal 232 3 2" xfId="1861" xr:uid="{00000000-0005-0000-0000-00003E050000}"/>
    <cellStyle name="Normal 232 3 3" xfId="2331" xr:uid="{00000000-0005-0000-0000-00003F050000}"/>
    <cellStyle name="Normal 233" xfId="864" xr:uid="{00000000-0005-0000-0000-000040050000}"/>
    <cellStyle name="Normal 233 2" xfId="954" xr:uid="{00000000-0005-0000-0000-000041050000}"/>
    <cellStyle name="Normal 233 3" xfId="953" xr:uid="{00000000-0005-0000-0000-000042050000}"/>
    <cellStyle name="Normal 233 3 2" xfId="1863" xr:uid="{00000000-0005-0000-0000-000043050000}"/>
    <cellStyle name="Normal 233 3 3" xfId="2329" xr:uid="{00000000-0005-0000-0000-000044050000}"/>
    <cellStyle name="Normal 233 4" xfId="1862" xr:uid="{00000000-0005-0000-0000-000045050000}"/>
    <cellStyle name="Normal 233 5" xfId="2330" xr:uid="{00000000-0005-0000-0000-000046050000}"/>
    <cellStyle name="Normal 234" xfId="934" xr:uid="{00000000-0005-0000-0000-000047050000}"/>
    <cellStyle name="Normal 234 2" xfId="956" xr:uid="{00000000-0005-0000-0000-000048050000}"/>
    <cellStyle name="Normal 234 3" xfId="955" xr:uid="{00000000-0005-0000-0000-000049050000}"/>
    <cellStyle name="Normal 234 3 2" xfId="1865" xr:uid="{00000000-0005-0000-0000-00004A050000}"/>
    <cellStyle name="Normal 234 3 3" xfId="2327" xr:uid="{00000000-0005-0000-0000-00004B050000}"/>
    <cellStyle name="Normal 234 4" xfId="1864" xr:uid="{00000000-0005-0000-0000-00004C050000}"/>
    <cellStyle name="Normal 234 5" xfId="2328" xr:uid="{00000000-0005-0000-0000-00004D050000}"/>
    <cellStyle name="Normal 235" xfId="935" xr:uid="{00000000-0005-0000-0000-00004E050000}"/>
    <cellStyle name="Normal 235 2" xfId="958" xr:uid="{00000000-0005-0000-0000-00004F050000}"/>
    <cellStyle name="Normal 235 3" xfId="957" xr:uid="{00000000-0005-0000-0000-000050050000}"/>
    <cellStyle name="Normal 235 3 2" xfId="1867" xr:uid="{00000000-0005-0000-0000-000051050000}"/>
    <cellStyle name="Normal 235 3 3" xfId="2634" xr:uid="{00000000-0005-0000-0000-000052050000}"/>
    <cellStyle name="Normal 235 4" xfId="1866" xr:uid="{00000000-0005-0000-0000-000053050000}"/>
    <cellStyle name="Normal 235 5" xfId="2326" xr:uid="{00000000-0005-0000-0000-000054050000}"/>
    <cellStyle name="Normal 236" xfId="938" xr:uid="{00000000-0005-0000-0000-000055050000}"/>
    <cellStyle name="Normal 236 2" xfId="959" xr:uid="{00000000-0005-0000-0000-000056050000}"/>
    <cellStyle name="Normal 236 2 2" xfId="1869" xr:uid="{00000000-0005-0000-0000-000057050000}"/>
    <cellStyle name="Normal 236 2 3" xfId="2324" xr:uid="{00000000-0005-0000-0000-000058050000}"/>
    <cellStyle name="Normal 236 3" xfId="1013" xr:uid="{00000000-0005-0000-0000-000059050000}"/>
    <cellStyle name="Normal 236 4" xfId="1868" xr:uid="{00000000-0005-0000-0000-00005A050000}"/>
    <cellStyle name="Normal 236 5" xfId="2325" xr:uid="{00000000-0005-0000-0000-00005B050000}"/>
    <cellStyle name="Normal 237" xfId="936" xr:uid="{00000000-0005-0000-0000-00005C050000}"/>
    <cellStyle name="Normal 237 2" xfId="960" xr:uid="{00000000-0005-0000-0000-00005D050000}"/>
    <cellStyle name="Normal 237 2 2" xfId="1871" xr:uid="{00000000-0005-0000-0000-00005E050000}"/>
    <cellStyle name="Normal 237 2 3" xfId="2633" xr:uid="{00000000-0005-0000-0000-00005F050000}"/>
    <cellStyle name="Normal 237 3" xfId="1014" xr:uid="{00000000-0005-0000-0000-000060050000}"/>
    <cellStyle name="Normal 237 4" xfId="1870" xr:uid="{00000000-0005-0000-0000-000061050000}"/>
    <cellStyle name="Normal 237 5" xfId="2323" xr:uid="{00000000-0005-0000-0000-000062050000}"/>
    <cellStyle name="Normal 238" xfId="961" xr:uid="{00000000-0005-0000-0000-000063050000}"/>
    <cellStyle name="Normal 238 2" xfId="1872" xr:uid="{00000000-0005-0000-0000-000064050000}"/>
    <cellStyle name="Normal 238 3" xfId="2322" xr:uid="{00000000-0005-0000-0000-000065050000}"/>
    <cellStyle name="Normal 238 4" xfId="2538" xr:uid="{00000000-0005-0000-0000-000066050000}"/>
    <cellStyle name="Normal 239" xfId="962" xr:uid="{00000000-0005-0000-0000-000067050000}"/>
    <cellStyle name="Normal 239 2" xfId="1873" xr:uid="{00000000-0005-0000-0000-000068050000}"/>
    <cellStyle name="Normal 239 3" xfId="2632" xr:uid="{00000000-0005-0000-0000-000069050000}"/>
    <cellStyle name="Normal 239 4" xfId="2537" xr:uid="{00000000-0005-0000-0000-00006A050000}"/>
    <cellStyle name="Normal 24" xfId="191" xr:uid="{00000000-0005-0000-0000-00006B050000}"/>
    <cellStyle name="Normal 240" xfId="963" xr:uid="{00000000-0005-0000-0000-00006C050000}"/>
    <cellStyle name="Normal 240 2" xfId="1874" xr:uid="{00000000-0005-0000-0000-00006D050000}"/>
    <cellStyle name="Normal 240 3" xfId="2321" xr:uid="{00000000-0005-0000-0000-00006E050000}"/>
    <cellStyle name="Normal 240 4" xfId="2536" xr:uid="{00000000-0005-0000-0000-00006F050000}"/>
    <cellStyle name="Normal 241" xfId="964" xr:uid="{00000000-0005-0000-0000-000070050000}"/>
    <cellStyle name="Normal 241 2" xfId="1875" xr:uid="{00000000-0005-0000-0000-000071050000}"/>
    <cellStyle name="Normal 241 3" xfId="2320" xr:uid="{00000000-0005-0000-0000-000072050000}"/>
    <cellStyle name="Normal 241 4" xfId="2535" xr:uid="{00000000-0005-0000-0000-000073050000}"/>
    <cellStyle name="Normal 242" xfId="965" xr:uid="{00000000-0005-0000-0000-000074050000}"/>
    <cellStyle name="Normal 242 2" xfId="1876" xr:uid="{00000000-0005-0000-0000-000075050000}"/>
    <cellStyle name="Normal 242 3" xfId="2319" xr:uid="{00000000-0005-0000-0000-000076050000}"/>
    <cellStyle name="Normal 242 4" xfId="2534" xr:uid="{00000000-0005-0000-0000-000077050000}"/>
    <cellStyle name="Normal 243" xfId="966" xr:uid="{00000000-0005-0000-0000-000078050000}"/>
    <cellStyle name="Normal 243 2" xfId="1877" xr:uid="{00000000-0005-0000-0000-000079050000}"/>
    <cellStyle name="Normal 243 3" xfId="2318" xr:uid="{00000000-0005-0000-0000-00007A050000}"/>
    <cellStyle name="Normal 244" xfId="967" xr:uid="{00000000-0005-0000-0000-00007B050000}"/>
    <cellStyle name="Normal 244 2" xfId="1878" xr:uid="{00000000-0005-0000-0000-00007C050000}"/>
    <cellStyle name="Normal 244 3" xfId="2631" xr:uid="{00000000-0005-0000-0000-00007D050000}"/>
    <cellStyle name="Normal 245" xfId="968" xr:uid="{00000000-0005-0000-0000-00007E050000}"/>
    <cellStyle name="Normal 246" xfId="940" xr:uid="{00000000-0005-0000-0000-00007F050000}"/>
    <cellStyle name="Normal 246 2" xfId="1008" xr:uid="{00000000-0005-0000-0000-000080050000}"/>
    <cellStyle name="Normal 246 3" xfId="1015" xr:uid="{00000000-0005-0000-0000-000081050000}"/>
    <cellStyle name="Normal 247" xfId="1002" xr:uid="{00000000-0005-0000-0000-000082050000}"/>
    <cellStyle name="Normal 247 2" xfId="1017" xr:uid="{00000000-0005-0000-0000-000083050000}"/>
    <cellStyle name="Normal 247 3" xfId="1016" xr:uid="{00000000-0005-0000-0000-000084050000}"/>
    <cellStyle name="Normal 247 4" xfId="1032" xr:uid="{00000000-0005-0000-0000-000085050000}"/>
    <cellStyle name="Normal 248" xfId="1005" xr:uid="{00000000-0005-0000-0000-000086050000}"/>
    <cellStyle name="Normal 248 2" xfId="1019" xr:uid="{00000000-0005-0000-0000-000087050000}"/>
    <cellStyle name="Normal 248 3" xfId="1018" xr:uid="{00000000-0005-0000-0000-000088050000}"/>
    <cellStyle name="Normal 248 4" xfId="1033" xr:uid="{00000000-0005-0000-0000-000089050000}"/>
    <cellStyle name="Normal 249" xfId="1010" xr:uid="{00000000-0005-0000-0000-00008A050000}"/>
    <cellStyle name="Normal 25" xfId="192" xr:uid="{00000000-0005-0000-0000-00008B050000}"/>
    <cellStyle name="Normal 250" xfId="1020" xr:uid="{00000000-0005-0000-0000-00008C050000}"/>
    <cellStyle name="Normal 250 2" xfId="1035" xr:uid="{00000000-0005-0000-0000-00008D050000}"/>
    <cellStyle name="Normal 250 2 2" xfId="1879" xr:uid="{00000000-0005-0000-0000-00008E050000}"/>
    <cellStyle name="Normal 250 2 3" xfId="2317" xr:uid="{00000000-0005-0000-0000-00008F050000}"/>
    <cellStyle name="Normal 250 3" xfId="1034" xr:uid="{00000000-0005-0000-0000-000090050000}"/>
    <cellStyle name="Normal 250 4" xfId="2533" xr:uid="{00000000-0005-0000-0000-000091050000}"/>
    <cellStyle name="Normal 251" xfId="1021" xr:uid="{00000000-0005-0000-0000-000092050000}"/>
    <cellStyle name="Normal 251 2" xfId="1037" xr:uid="{00000000-0005-0000-0000-000093050000}"/>
    <cellStyle name="Normal 251 2 2" xfId="1880" xr:uid="{00000000-0005-0000-0000-000094050000}"/>
    <cellStyle name="Normal 251 2 3" xfId="2630" xr:uid="{00000000-0005-0000-0000-000095050000}"/>
    <cellStyle name="Normal 251 3" xfId="1036" xr:uid="{00000000-0005-0000-0000-000096050000}"/>
    <cellStyle name="Normal 251 4" xfId="2532" xr:uid="{00000000-0005-0000-0000-000097050000}"/>
    <cellStyle name="Normal 252" xfId="1022" xr:uid="{00000000-0005-0000-0000-000098050000}"/>
    <cellStyle name="Normal 252 2" xfId="1039" xr:uid="{00000000-0005-0000-0000-000099050000}"/>
    <cellStyle name="Normal 252 2 2" xfId="1881" xr:uid="{00000000-0005-0000-0000-00009A050000}"/>
    <cellStyle name="Normal 252 2 3" xfId="2316" xr:uid="{00000000-0005-0000-0000-00009B050000}"/>
    <cellStyle name="Normal 252 3" xfId="1038" xr:uid="{00000000-0005-0000-0000-00009C050000}"/>
    <cellStyle name="Normal 252 4" xfId="2531" xr:uid="{00000000-0005-0000-0000-00009D050000}"/>
    <cellStyle name="Normal 253" xfId="1011" xr:uid="{00000000-0005-0000-0000-00009E050000}"/>
    <cellStyle name="Normal 254" xfId="1029" xr:uid="{00000000-0005-0000-0000-00009F050000}"/>
    <cellStyle name="Normal 254 2" xfId="1041" xr:uid="{00000000-0005-0000-0000-0000A0050000}"/>
    <cellStyle name="Normal 254 2 2" xfId="1161" xr:uid="{00000000-0005-0000-0000-0000A1050000}"/>
    <cellStyle name="Normal 254 2 3" xfId="1371" xr:uid="{00000000-0005-0000-0000-0000A2050000}"/>
    <cellStyle name="Normal 254 3" xfId="1040" xr:uid="{00000000-0005-0000-0000-0000A3050000}"/>
    <cellStyle name="Normal 254 3 2" xfId="1373" xr:uid="{00000000-0005-0000-0000-0000A4050000}"/>
    <cellStyle name="Normal 254 3 3" xfId="1372" xr:uid="{00000000-0005-0000-0000-0000A5050000}"/>
    <cellStyle name="Normal 254 4" xfId="2530" xr:uid="{00000000-0005-0000-0000-0000A6050000}"/>
    <cellStyle name="Normal 255" xfId="1028" xr:uid="{00000000-0005-0000-0000-0000A7050000}"/>
    <cellStyle name="Normal 255 2" xfId="1042" xr:uid="{00000000-0005-0000-0000-0000A8050000}"/>
    <cellStyle name="Normal 255 2 2" xfId="1162" xr:uid="{00000000-0005-0000-0000-0000A9050000}"/>
    <cellStyle name="Normal 255 2 3" xfId="1374" xr:uid="{00000000-0005-0000-0000-0000AA050000}"/>
    <cellStyle name="Normal 255 3" xfId="1375" xr:uid="{00000000-0005-0000-0000-0000AB050000}"/>
    <cellStyle name="Normal 256" xfId="1043" xr:uid="{00000000-0005-0000-0000-0000AC050000}"/>
    <cellStyle name="Normal 256 2" xfId="1044" xr:uid="{00000000-0005-0000-0000-0000AD050000}"/>
    <cellStyle name="Normal 256 2 2" xfId="1163" xr:uid="{00000000-0005-0000-0000-0000AE050000}"/>
    <cellStyle name="Normal 256 2 3" xfId="1376" xr:uid="{00000000-0005-0000-0000-0000AF050000}"/>
    <cellStyle name="Normal 256 3" xfId="1377" xr:uid="{00000000-0005-0000-0000-0000B0050000}"/>
    <cellStyle name="Normal 257" xfId="1045" xr:uid="{00000000-0005-0000-0000-0000B1050000}"/>
    <cellStyle name="Normal 257 2" xfId="1046" xr:uid="{00000000-0005-0000-0000-0000B2050000}"/>
    <cellStyle name="Normal 257 2 2" xfId="1164" xr:uid="{00000000-0005-0000-0000-0000B3050000}"/>
    <cellStyle name="Normal 257 2 3" xfId="1378" xr:uid="{00000000-0005-0000-0000-0000B4050000}"/>
    <cellStyle name="Normal 257 3" xfId="1379" xr:uid="{00000000-0005-0000-0000-0000B5050000}"/>
    <cellStyle name="Normal 258" xfId="1047" xr:uid="{00000000-0005-0000-0000-0000B6050000}"/>
    <cellStyle name="Normal 258 2" xfId="1048" xr:uid="{00000000-0005-0000-0000-0000B7050000}"/>
    <cellStyle name="Normal 258 2 2" xfId="1165" xr:uid="{00000000-0005-0000-0000-0000B8050000}"/>
    <cellStyle name="Normal 258 2 3" xfId="1380" xr:uid="{00000000-0005-0000-0000-0000B9050000}"/>
    <cellStyle name="Normal 258 3" xfId="1381" xr:uid="{00000000-0005-0000-0000-0000BA050000}"/>
    <cellStyle name="Normal 259" xfId="1049" xr:uid="{00000000-0005-0000-0000-0000BB050000}"/>
    <cellStyle name="Normal 26" xfId="196" xr:uid="{00000000-0005-0000-0000-0000BC050000}"/>
    <cellStyle name="Normal 260" xfId="1050" xr:uid="{00000000-0005-0000-0000-0000BD050000}"/>
    <cellStyle name="Normal 261" xfId="1051" xr:uid="{00000000-0005-0000-0000-0000BE050000}"/>
    <cellStyle name="Normal 262" xfId="1052" xr:uid="{00000000-0005-0000-0000-0000BF050000}"/>
    <cellStyle name="Normal 263" xfId="1053" xr:uid="{00000000-0005-0000-0000-0000C0050000}"/>
    <cellStyle name="Normal 263 2" xfId="1882" xr:uid="{00000000-0005-0000-0000-0000C1050000}"/>
    <cellStyle name="Normal 263 3" xfId="2315" xr:uid="{00000000-0005-0000-0000-0000C2050000}"/>
    <cellStyle name="Normal 264" xfId="1054" xr:uid="{00000000-0005-0000-0000-0000C3050000}"/>
    <cellStyle name="Normal 264 2" xfId="1883" xr:uid="{00000000-0005-0000-0000-0000C4050000}"/>
    <cellStyle name="Normal 264 3" xfId="2314" xr:uid="{00000000-0005-0000-0000-0000C5050000}"/>
    <cellStyle name="Normal 265" xfId="1055" xr:uid="{00000000-0005-0000-0000-0000C6050000}"/>
    <cellStyle name="Normal 266" xfId="1056" xr:uid="{00000000-0005-0000-0000-0000C7050000}"/>
    <cellStyle name="Normal 267" xfId="1057" xr:uid="{00000000-0005-0000-0000-0000C8050000}"/>
    <cellStyle name="Normal 268" xfId="1058" xr:uid="{00000000-0005-0000-0000-0000C9050000}"/>
    <cellStyle name="Normal 269" xfId="1031" xr:uid="{00000000-0005-0000-0000-0000CA050000}"/>
    <cellStyle name="Normal 27" xfId="193" xr:uid="{00000000-0005-0000-0000-0000CB050000}"/>
    <cellStyle name="Normal 270" xfId="1088" xr:uid="{00000000-0005-0000-0000-0000CC050000}"/>
    <cellStyle name="Normal 270 2" xfId="1166" xr:uid="{00000000-0005-0000-0000-0000CD050000}"/>
    <cellStyle name="Normal 270 3" xfId="1382" xr:uid="{00000000-0005-0000-0000-0000CE050000}"/>
    <cellStyle name="Normal 270 4" xfId="1884" xr:uid="{00000000-0005-0000-0000-0000CF050000}"/>
    <cellStyle name="Normal 270 5" xfId="2313" xr:uid="{00000000-0005-0000-0000-0000D0050000}"/>
    <cellStyle name="Normal 271" xfId="1091" xr:uid="{00000000-0005-0000-0000-0000D1050000}"/>
    <cellStyle name="Normal 272" xfId="1092" xr:uid="{00000000-0005-0000-0000-0000D2050000}"/>
    <cellStyle name="Normal 273" xfId="1093" xr:uid="{00000000-0005-0000-0000-0000D3050000}"/>
    <cellStyle name="Normal 274" xfId="1094" xr:uid="{00000000-0005-0000-0000-0000D4050000}"/>
    <cellStyle name="Normal 275" xfId="1095" xr:uid="{00000000-0005-0000-0000-0000D5050000}"/>
    <cellStyle name="Normal 275 2" xfId="1383" xr:uid="{00000000-0005-0000-0000-0000D6050000}"/>
    <cellStyle name="Normal 275 3" xfId="1885" xr:uid="{00000000-0005-0000-0000-0000D7050000}"/>
    <cellStyle name="Normal 275 4" xfId="2312" xr:uid="{00000000-0005-0000-0000-0000D8050000}"/>
    <cellStyle name="Normal 275 5" xfId="2515" xr:uid="{00000000-0005-0000-0000-0000D9050000}"/>
    <cellStyle name="Normal 276" xfId="1096" xr:uid="{00000000-0005-0000-0000-0000DA050000}"/>
    <cellStyle name="Normal 276 2" xfId="1384" xr:uid="{00000000-0005-0000-0000-0000DB050000}"/>
    <cellStyle name="Normal 276 3" xfId="1886" xr:uid="{00000000-0005-0000-0000-0000DC050000}"/>
    <cellStyle name="Normal 276 4" xfId="2311" xr:uid="{00000000-0005-0000-0000-0000DD050000}"/>
    <cellStyle name="Normal 276 5" xfId="2514" xr:uid="{00000000-0005-0000-0000-0000DE050000}"/>
    <cellStyle name="Normal 277" xfId="1097" xr:uid="{00000000-0005-0000-0000-0000DF050000}"/>
    <cellStyle name="Normal 277 2" xfId="1385" xr:uid="{00000000-0005-0000-0000-0000E0050000}"/>
    <cellStyle name="Normal 277 3" xfId="1887" xr:uid="{00000000-0005-0000-0000-0000E1050000}"/>
    <cellStyle name="Normal 277 4" xfId="2310" xr:uid="{00000000-0005-0000-0000-0000E2050000}"/>
    <cellStyle name="Normal 277 5" xfId="2513" xr:uid="{00000000-0005-0000-0000-0000E3050000}"/>
    <cellStyle name="Normal 278" xfId="1098" xr:uid="{00000000-0005-0000-0000-0000E4050000}"/>
    <cellStyle name="Normal 278 2" xfId="1386" xr:uid="{00000000-0005-0000-0000-0000E5050000}"/>
    <cellStyle name="Normal 278 3" xfId="1888" xr:uid="{00000000-0005-0000-0000-0000E6050000}"/>
    <cellStyle name="Normal 278 4" xfId="2628" xr:uid="{00000000-0005-0000-0000-0000E7050000}"/>
    <cellStyle name="Normal 278 5" xfId="2512" xr:uid="{00000000-0005-0000-0000-0000E8050000}"/>
    <cellStyle name="Normal 279" xfId="1099" xr:uid="{00000000-0005-0000-0000-0000E9050000}"/>
    <cellStyle name="Normal 28" xfId="197" xr:uid="{00000000-0005-0000-0000-0000EA050000}"/>
    <cellStyle name="Normal 280" xfId="1100" xr:uid="{00000000-0005-0000-0000-0000EB050000}"/>
    <cellStyle name="Normal 281" xfId="1101" xr:uid="{00000000-0005-0000-0000-0000EC050000}"/>
    <cellStyle name="Normal 281 2" xfId="3036" xr:uid="{00000000-0005-0000-0000-0000ED050000}"/>
    <cellStyle name="Normal 282" xfId="1102" xr:uid="{00000000-0005-0000-0000-0000EE050000}"/>
    <cellStyle name="Normal 282 2" xfId="3035" xr:uid="{00000000-0005-0000-0000-0000EF050000}"/>
    <cellStyle name="Normal 283" xfId="1103" xr:uid="{00000000-0005-0000-0000-0000F0050000}"/>
    <cellStyle name="Normal 284" xfId="1104" xr:uid="{00000000-0005-0000-0000-0000F1050000}"/>
    <cellStyle name="Normal 285" xfId="1105" xr:uid="{00000000-0005-0000-0000-0000F2050000}"/>
    <cellStyle name="Normal 286" xfId="1106" xr:uid="{00000000-0005-0000-0000-0000F3050000}"/>
    <cellStyle name="Normal 287" xfId="1107" xr:uid="{00000000-0005-0000-0000-0000F4050000}"/>
    <cellStyle name="Normal 288" xfId="1108" xr:uid="{00000000-0005-0000-0000-0000F5050000}"/>
    <cellStyle name="Normal 289" xfId="1109" xr:uid="{00000000-0005-0000-0000-0000F6050000}"/>
    <cellStyle name="Normal 29" xfId="194" xr:uid="{00000000-0005-0000-0000-0000F7050000}"/>
    <cellStyle name="Normal 290" xfId="1110" xr:uid="{00000000-0005-0000-0000-0000F8050000}"/>
    <cellStyle name="Normal 291" xfId="1111" xr:uid="{00000000-0005-0000-0000-0000F9050000}"/>
    <cellStyle name="Normal 292" xfId="1112" xr:uid="{00000000-0005-0000-0000-0000FA050000}"/>
    <cellStyle name="Normal 293" xfId="1113" xr:uid="{00000000-0005-0000-0000-0000FB050000}"/>
    <cellStyle name="Normal 294" xfId="1114" xr:uid="{00000000-0005-0000-0000-0000FC050000}"/>
    <cellStyle name="Normal 295" xfId="1115" xr:uid="{00000000-0005-0000-0000-0000FD050000}"/>
    <cellStyle name="Normal 296" xfId="1116" xr:uid="{00000000-0005-0000-0000-0000FE050000}"/>
    <cellStyle name="Normal 297" xfId="1117" xr:uid="{00000000-0005-0000-0000-0000FF050000}"/>
    <cellStyle name="Normal 298" xfId="1118" xr:uid="{00000000-0005-0000-0000-000000060000}"/>
    <cellStyle name="Normal 299" xfId="1119" xr:uid="{00000000-0005-0000-0000-000001060000}"/>
    <cellStyle name="Normal 3" xfId="4" xr:uid="{00000000-0005-0000-0000-000002060000}"/>
    <cellStyle name="Normal 3 2" xfId="125" xr:uid="{00000000-0005-0000-0000-000003060000}"/>
    <cellStyle name="Normal 3 2 2" xfId="183" xr:uid="{00000000-0005-0000-0000-000004060000}"/>
    <cellStyle name="Normal 3 2 2 2" xfId="551" xr:uid="{00000000-0005-0000-0000-000005060000}"/>
    <cellStyle name="Normal 3 2 2 3" xfId="437" xr:uid="{00000000-0005-0000-0000-000006060000}"/>
    <cellStyle name="Normal 3 2 2 3 2" xfId="1890" xr:uid="{00000000-0005-0000-0000-000007060000}"/>
    <cellStyle name="Normal 3 2 2 3 3" xfId="2309" xr:uid="{00000000-0005-0000-0000-000008060000}"/>
    <cellStyle name="Normal 3 2 3" xfId="1889" xr:uid="{00000000-0005-0000-0000-000009060000}"/>
    <cellStyle name="Normal 3 2 4" xfId="2629" xr:uid="{00000000-0005-0000-0000-00000A060000}"/>
    <cellStyle name="Normal 3 3" xfId="221" xr:uid="{00000000-0005-0000-0000-00000B060000}"/>
    <cellStyle name="Normal 3 3 2" xfId="439" xr:uid="{00000000-0005-0000-0000-00000C060000}"/>
    <cellStyle name="Normal 3 3 2 2" xfId="440" xr:uid="{00000000-0005-0000-0000-00000D060000}"/>
    <cellStyle name="Normal 3 3 2 2 2" xfId="1892" xr:uid="{00000000-0005-0000-0000-00000E060000}"/>
    <cellStyle name="Normal 3 3 2 2 3" xfId="2307" xr:uid="{00000000-0005-0000-0000-00000F060000}"/>
    <cellStyle name="Normal 3 3 2 3" xfId="1891" xr:uid="{00000000-0005-0000-0000-000010060000}"/>
    <cellStyle name="Normal 3 3 2 4" xfId="2308" xr:uid="{00000000-0005-0000-0000-000011060000}"/>
    <cellStyle name="Normal 3 3 3" xfId="556" xr:uid="{00000000-0005-0000-0000-000012060000}"/>
    <cellStyle name="Normal 3 3 4" xfId="438" xr:uid="{00000000-0005-0000-0000-000013060000}"/>
    <cellStyle name="Normal 3 3 4 2" xfId="1893" xr:uid="{00000000-0005-0000-0000-000014060000}"/>
    <cellStyle name="Normal 3 3 4 3" xfId="2627" xr:uid="{00000000-0005-0000-0000-000015060000}"/>
    <cellStyle name="Normal 3 4" xfId="483" xr:uid="{00000000-0005-0000-0000-000016060000}"/>
    <cellStyle name="Normal 3 5" xfId="1183" xr:uid="{00000000-0005-0000-0000-000017060000}"/>
    <cellStyle name="Normal 30" xfId="195" xr:uid="{00000000-0005-0000-0000-000018060000}"/>
    <cellStyle name="Normal 300" xfId="1120" xr:uid="{00000000-0005-0000-0000-000019060000}"/>
    <cellStyle name="Normal 301" xfId="1121" xr:uid="{00000000-0005-0000-0000-00001A060000}"/>
    <cellStyle name="Normal 302" xfId="1122" xr:uid="{00000000-0005-0000-0000-00001B060000}"/>
    <cellStyle name="Normal 303" xfId="1123" xr:uid="{00000000-0005-0000-0000-00001C060000}"/>
    <cellStyle name="Normal 304" xfId="1124" xr:uid="{00000000-0005-0000-0000-00001D060000}"/>
    <cellStyle name="Normal 305" xfId="1125" xr:uid="{00000000-0005-0000-0000-00001E060000}"/>
    <cellStyle name="Normal 306" xfId="1126" xr:uid="{00000000-0005-0000-0000-00001F060000}"/>
    <cellStyle name="Normal 307" xfId="1127" xr:uid="{00000000-0005-0000-0000-000020060000}"/>
    <cellStyle name="Normal 308" xfId="1128" xr:uid="{00000000-0005-0000-0000-000021060000}"/>
    <cellStyle name="Normal 309" xfId="1129" xr:uid="{00000000-0005-0000-0000-000022060000}"/>
    <cellStyle name="Normal 31" xfId="199" xr:uid="{00000000-0005-0000-0000-000023060000}"/>
    <cellStyle name="Normal 310" xfId="1130" xr:uid="{00000000-0005-0000-0000-000024060000}"/>
    <cellStyle name="Normal 311" xfId="1131" xr:uid="{00000000-0005-0000-0000-000025060000}"/>
    <cellStyle name="Normal 312" xfId="1132" xr:uid="{00000000-0005-0000-0000-000026060000}"/>
    <cellStyle name="Normal 313" xfId="1133" xr:uid="{00000000-0005-0000-0000-000027060000}"/>
    <cellStyle name="Normal 314" xfId="1134" xr:uid="{00000000-0005-0000-0000-000028060000}"/>
    <cellStyle name="Normal 315" xfId="1135" xr:uid="{00000000-0005-0000-0000-000029060000}"/>
    <cellStyle name="Normal 316" xfId="1136" xr:uid="{00000000-0005-0000-0000-00002A060000}"/>
    <cellStyle name="Normal 317" xfId="1137" xr:uid="{00000000-0005-0000-0000-00002B060000}"/>
    <cellStyle name="Normal 318" xfId="1138" xr:uid="{00000000-0005-0000-0000-00002C060000}"/>
    <cellStyle name="Normal 319" xfId="1139" xr:uid="{00000000-0005-0000-0000-00002D060000}"/>
    <cellStyle name="Normal 32" xfId="200" xr:uid="{00000000-0005-0000-0000-00002E060000}"/>
    <cellStyle name="Normal 320" xfId="1140" xr:uid="{00000000-0005-0000-0000-00002F060000}"/>
    <cellStyle name="Normal 321" xfId="1090" xr:uid="{00000000-0005-0000-0000-000030060000}"/>
    <cellStyle name="Normal 322" xfId="1141" xr:uid="{00000000-0005-0000-0000-000031060000}"/>
    <cellStyle name="Normal 323" xfId="1089" xr:uid="{00000000-0005-0000-0000-000032060000}"/>
    <cellStyle name="Normal 324" xfId="1142" xr:uid="{00000000-0005-0000-0000-000033060000}"/>
    <cellStyle name="Normal 325" xfId="1143" xr:uid="{00000000-0005-0000-0000-000034060000}"/>
    <cellStyle name="Normal 326" xfId="1144" xr:uid="{00000000-0005-0000-0000-000035060000}"/>
    <cellStyle name="Normal 327" xfId="1145" xr:uid="{00000000-0005-0000-0000-000036060000}"/>
    <cellStyle name="Normal 328" xfId="1146" xr:uid="{00000000-0005-0000-0000-000037060000}"/>
    <cellStyle name="Normal 329" xfId="1147" xr:uid="{00000000-0005-0000-0000-000038060000}"/>
    <cellStyle name="Normal 33" xfId="198" xr:uid="{00000000-0005-0000-0000-000039060000}"/>
    <cellStyle name="Normal 330" xfId="1148" xr:uid="{00000000-0005-0000-0000-00003A060000}"/>
    <cellStyle name="Normal 331" xfId="1149" xr:uid="{00000000-0005-0000-0000-00003B060000}"/>
    <cellStyle name="Normal 332" xfId="1150" xr:uid="{00000000-0005-0000-0000-00003C060000}"/>
    <cellStyle name="Normal 333" xfId="1151" xr:uid="{00000000-0005-0000-0000-00003D060000}"/>
    <cellStyle name="Normal 334" xfId="1152" xr:uid="{00000000-0005-0000-0000-00003E060000}"/>
    <cellStyle name="Normal 335" xfId="1153" xr:uid="{00000000-0005-0000-0000-00003F060000}"/>
    <cellStyle name="Normal 336" xfId="1154" xr:uid="{00000000-0005-0000-0000-000040060000}"/>
    <cellStyle name="Normal 337" xfId="1155" xr:uid="{00000000-0005-0000-0000-000041060000}"/>
    <cellStyle name="Normal 338" xfId="1156" xr:uid="{00000000-0005-0000-0000-000042060000}"/>
    <cellStyle name="Normal 339" xfId="1157" xr:uid="{00000000-0005-0000-0000-000043060000}"/>
    <cellStyle name="Normal 34" xfId="201" xr:uid="{00000000-0005-0000-0000-000044060000}"/>
    <cellStyle name="Normal 340" xfId="1158" xr:uid="{00000000-0005-0000-0000-000045060000}"/>
    <cellStyle name="Normal 341" xfId="1179" xr:uid="{00000000-0005-0000-0000-000046060000}"/>
    <cellStyle name="Normal 342" xfId="1180" xr:uid="{00000000-0005-0000-0000-000047060000}"/>
    <cellStyle name="Normal 343" xfId="1181" xr:uid="{00000000-0005-0000-0000-000048060000}"/>
    <cellStyle name="Normal 344" xfId="1186" xr:uid="{00000000-0005-0000-0000-000049060000}"/>
    <cellStyle name="Normal 344 2" xfId="1390" xr:uid="{00000000-0005-0000-0000-00004A060000}"/>
    <cellStyle name="Normal 344 3" xfId="2595" xr:uid="{00000000-0005-0000-0000-00004B060000}"/>
    <cellStyle name="Normal 345" xfId="1188" xr:uid="{00000000-0005-0000-0000-00004C060000}"/>
    <cellStyle name="Normal 345 2" xfId="1391" xr:uid="{00000000-0005-0000-0000-00004D060000}"/>
    <cellStyle name="Normal 345 3" xfId="2597" xr:uid="{00000000-0005-0000-0000-00004E060000}"/>
    <cellStyle name="Normal 346" xfId="1190" xr:uid="{00000000-0005-0000-0000-00004F060000}"/>
    <cellStyle name="Normal 346 2" xfId="1392" xr:uid="{00000000-0005-0000-0000-000050060000}"/>
    <cellStyle name="Normal 346 3" xfId="2599" xr:uid="{00000000-0005-0000-0000-000051060000}"/>
    <cellStyle name="Normal 347" xfId="1192" xr:uid="{00000000-0005-0000-0000-000052060000}"/>
    <cellStyle name="Normal 347 2" xfId="1393" xr:uid="{00000000-0005-0000-0000-000053060000}"/>
    <cellStyle name="Normal 347 3" xfId="2601" xr:uid="{00000000-0005-0000-0000-000054060000}"/>
    <cellStyle name="Normal 348" xfId="1193" xr:uid="{00000000-0005-0000-0000-000055060000}"/>
    <cellStyle name="Normal 348 2" xfId="1394" xr:uid="{00000000-0005-0000-0000-000056060000}"/>
    <cellStyle name="Normal 348 3" xfId="2602" xr:uid="{00000000-0005-0000-0000-000057060000}"/>
    <cellStyle name="Normal 349" xfId="1196" xr:uid="{00000000-0005-0000-0000-000058060000}"/>
    <cellStyle name="Normal 349 2" xfId="1395" xr:uid="{00000000-0005-0000-0000-000059060000}"/>
    <cellStyle name="Normal 349 3" xfId="2605" xr:uid="{00000000-0005-0000-0000-00005A060000}"/>
    <cellStyle name="Normal 35" xfId="202" xr:uid="{00000000-0005-0000-0000-00005B060000}"/>
    <cellStyle name="Normal 350" xfId="1197" xr:uid="{00000000-0005-0000-0000-00005C060000}"/>
    <cellStyle name="Normal 350 2" xfId="1396" xr:uid="{00000000-0005-0000-0000-00005D060000}"/>
    <cellStyle name="Normal 350 3" xfId="2606" xr:uid="{00000000-0005-0000-0000-00005E060000}"/>
    <cellStyle name="Normal 351" xfId="1200" xr:uid="{00000000-0005-0000-0000-00005F060000}"/>
    <cellStyle name="Normal 351 2" xfId="1397" xr:uid="{00000000-0005-0000-0000-000060060000}"/>
    <cellStyle name="Normal 351 3" xfId="2609" xr:uid="{00000000-0005-0000-0000-000061060000}"/>
    <cellStyle name="Normal 352" xfId="1203" xr:uid="{00000000-0005-0000-0000-000062060000}"/>
    <cellStyle name="Normal 352 2" xfId="1398" xr:uid="{00000000-0005-0000-0000-000063060000}"/>
    <cellStyle name="Normal 352 3" xfId="2612" xr:uid="{00000000-0005-0000-0000-000064060000}"/>
    <cellStyle name="Normal 353" xfId="1202" xr:uid="{00000000-0005-0000-0000-000065060000}"/>
    <cellStyle name="Normal 353 2" xfId="1399" xr:uid="{00000000-0005-0000-0000-000066060000}"/>
    <cellStyle name="Normal 353 3" xfId="2611" xr:uid="{00000000-0005-0000-0000-000067060000}"/>
    <cellStyle name="Normal 354" xfId="1205" xr:uid="{00000000-0005-0000-0000-000068060000}"/>
    <cellStyle name="Normal 354 2" xfId="1400" xr:uid="{00000000-0005-0000-0000-000069060000}"/>
    <cellStyle name="Normal 354 3" xfId="2614" xr:uid="{00000000-0005-0000-0000-00006A060000}"/>
    <cellStyle name="Normal 355" xfId="1209" xr:uid="{00000000-0005-0000-0000-00006B060000}"/>
    <cellStyle name="Normal 355 2" xfId="1401" xr:uid="{00000000-0005-0000-0000-00006C060000}"/>
    <cellStyle name="Normal 355 3" xfId="2618" xr:uid="{00000000-0005-0000-0000-00006D060000}"/>
    <cellStyle name="Normal 356" xfId="1210" xr:uid="{00000000-0005-0000-0000-00006E060000}"/>
    <cellStyle name="Normal 357" xfId="1211" xr:uid="{00000000-0005-0000-0000-00006F060000}"/>
    <cellStyle name="Normal 358" xfId="1212" xr:uid="{00000000-0005-0000-0000-000070060000}"/>
    <cellStyle name="Normal 359" xfId="1213" xr:uid="{00000000-0005-0000-0000-000071060000}"/>
    <cellStyle name="Normal 36" xfId="203" xr:uid="{00000000-0005-0000-0000-000072060000}"/>
    <cellStyle name="Normal 360" xfId="1214" xr:uid="{00000000-0005-0000-0000-000073060000}"/>
    <cellStyle name="Normal 361" xfId="1215" xr:uid="{00000000-0005-0000-0000-000074060000}"/>
    <cellStyle name="Normal 362" xfId="1216" xr:uid="{00000000-0005-0000-0000-000075060000}"/>
    <cellStyle name="Normal 363" xfId="1217" xr:uid="{00000000-0005-0000-0000-000076060000}"/>
    <cellStyle name="Normal 364" xfId="1218" xr:uid="{00000000-0005-0000-0000-000077060000}"/>
    <cellStyle name="Normal 365" xfId="1219" xr:uid="{00000000-0005-0000-0000-000078060000}"/>
    <cellStyle name="Normal 366" xfId="1220" xr:uid="{00000000-0005-0000-0000-000079060000}"/>
    <cellStyle name="Normal 367" xfId="1221" xr:uid="{00000000-0005-0000-0000-00007A060000}"/>
    <cellStyle name="Normal 368" xfId="1222" xr:uid="{00000000-0005-0000-0000-00007B060000}"/>
    <cellStyle name="Normal 369" xfId="1223" xr:uid="{00000000-0005-0000-0000-00007C060000}"/>
    <cellStyle name="Normal 37" xfId="205" xr:uid="{00000000-0005-0000-0000-00007D060000}"/>
    <cellStyle name="Normal 370" xfId="1224" xr:uid="{00000000-0005-0000-0000-00007E060000}"/>
    <cellStyle name="Normal 371" xfId="1225" xr:uid="{00000000-0005-0000-0000-00007F060000}"/>
    <cellStyle name="Normal 372" xfId="1226" xr:uid="{00000000-0005-0000-0000-000080060000}"/>
    <cellStyle name="Normal 373" xfId="1227" xr:uid="{00000000-0005-0000-0000-000081060000}"/>
    <cellStyle name="Normal 374" xfId="1228" xr:uid="{00000000-0005-0000-0000-000082060000}"/>
    <cellStyle name="Normal 375" xfId="1229" xr:uid="{00000000-0005-0000-0000-000083060000}"/>
    <cellStyle name="Normal 376" xfId="1230" xr:uid="{00000000-0005-0000-0000-000084060000}"/>
    <cellStyle name="Normal 377" xfId="1231" xr:uid="{00000000-0005-0000-0000-000085060000}"/>
    <cellStyle name="Normal 378" xfId="1232" xr:uid="{00000000-0005-0000-0000-000086060000}"/>
    <cellStyle name="Normal 379" xfId="1402" xr:uid="{00000000-0005-0000-0000-000087060000}"/>
    <cellStyle name="Normal 38" xfId="204" xr:uid="{00000000-0005-0000-0000-000088060000}"/>
    <cellStyle name="Normal 380" xfId="1403" xr:uid="{00000000-0005-0000-0000-000089060000}"/>
    <cellStyle name="Normal 381" xfId="1404" xr:uid="{00000000-0005-0000-0000-00008A060000}"/>
    <cellStyle name="Normal 382" xfId="1405" xr:uid="{00000000-0005-0000-0000-00008B060000}"/>
    <cellStyle name="Normal 383" xfId="1406" xr:uid="{00000000-0005-0000-0000-00008C060000}"/>
    <cellStyle name="Normal 384" xfId="1407" xr:uid="{00000000-0005-0000-0000-00008D060000}"/>
    <cellStyle name="Normal 385" xfId="1408" xr:uid="{00000000-0005-0000-0000-00008E060000}"/>
    <cellStyle name="Normal 386" xfId="1409" xr:uid="{00000000-0005-0000-0000-00008F060000}"/>
    <cellStyle name="Normal 387" xfId="1410" xr:uid="{00000000-0005-0000-0000-000090060000}"/>
    <cellStyle name="Normal 388" xfId="1411" xr:uid="{00000000-0005-0000-0000-000091060000}"/>
    <cellStyle name="Normal 389" xfId="1412" xr:uid="{00000000-0005-0000-0000-000092060000}"/>
    <cellStyle name="Normal 39" xfId="206" xr:uid="{00000000-0005-0000-0000-000093060000}"/>
    <cellStyle name="Normal 390" xfId="1413" xr:uid="{00000000-0005-0000-0000-000094060000}"/>
    <cellStyle name="Normal 391" xfId="1414" xr:uid="{00000000-0005-0000-0000-000095060000}"/>
    <cellStyle name="Normal 392" xfId="1415" xr:uid="{00000000-0005-0000-0000-000096060000}"/>
    <cellStyle name="Normal 393" xfId="1610" xr:uid="{00000000-0005-0000-0000-000097060000}"/>
    <cellStyle name="Normal 394" xfId="1608" xr:uid="{00000000-0005-0000-0000-000098060000}"/>
    <cellStyle name="Normal 395" xfId="1233" xr:uid="{00000000-0005-0000-0000-000099060000}"/>
    <cellStyle name="Normal 396" xfId="1607" xr:uid="{00000000-0005-0000-0000-00009A060000}"/>
    <cellStyle name="Normal 397" xfId="2081" xr:uid="{00000000-0005-0000-0000-00009B060000}"/>
    <cellStyle name="Normal 398" xfId="1387" xr:uid="{00000000-0005-0000-0000-00009C060000}"/>
    <cellStyle name="Normal 399" xfId="2074" xr:uid="{00000000-0005-0000-0000-00009D060000}"/>
    <cellStyle name="Normal 4" xfId="126" xr:uid="{00000000-0005-0000-0000-00009E060000}"/>
    <cellStyle name="Normal 4 2" xfId="127" xr:uid="{00000000-0005-0000-0000-00009F060000}"/>
    <cellStyle name="Normal 4 2 2" xfId="441" xr:uid="{00000000-0005-0000-0000-0000A0060000}"/>
    <cellStyle name="Normal 4 2 2 2" xfId="1894" xr:uid="{00000000-0005-0000-0000-0000A1060000}"/>
    <cellStyle name="Normal 4 2 2 3" xfId="2626" xr:uid="{00000000-0005-0000-0000-0000A2060000}"/>
    <cellStyle name="Normal 4 3" xfId="172" xr:uid="{00000000-0005-0000-0000-0000A3060000}"/>
    <cellStyle name="Normal 4 3 2" xfId="547" xr:uid="{00000000-0005-0000-0000-0000A4060000}"/>
    <cellStyle name="Normal 4 3 3" xfId="442" xr:uid="{00000000-0005-0000-0000-0000A5060000}"/>
    <cellStyle name="Normal 4 3 3 2" xfId="1895" xr:uid="{00000000-0005-0000-0000-0000A6060000}"/>
    <cellStyle name="Normal 4 3 3 3" xfId="2306" xr:uid="{00000000-0005-0000-0000-0000A7060000}"/>
    <cellStyle name="Normal 4 4" xfId="225" xr:uid="{00000000-0005-0000-0000-0000A8060000}"/>
    <cellStyle name="Normal 4 4 2" xfId="444" xr:uid="{00000000-0005-0000-0000-0000A9060000}"/>
    <cellStyle name="Normal 4 4 2 2" xfId="445" xr:uid="{00000000-0005-0000-0000-0000AA060000}"/>
    <cellStyle name="Normal 4 4 2 2 2" xfId="1897" xr:uid="{00000000-0005-0000-0000-0000AB060000}"/>
    <cellStyle name="Normal 4 4 2 2 3" xfId="2305" xr:uid="{00000000-0005-0000-0000-0000AC060000}"/>
    <cellStyle name="Normal 4 4 2 3" xfId="1896" xr:uid="{00000000-0005-0000-0000-0000AD060000}"/>
    <cellStyle name="Normal 4 4 2 4" xfId="2624" xr:uid="{00000000-0005-0000-0000-0000AE060000}"/>
    <cellStyle name="Normal 4 4 3" xfId="557" xr:uid="{00000000-0005-0000-0000-0000AF060000}"/>
    <cellStyle name="Normal 4 4 4" xfId="443" xr:uid="{00000000-0005-0000-0000-0000B0060000}"/>
    <cellStyle name="Normal 4 4 4 2" xfId="1898" xr:uid="{00000000-0005-0000-0000-0000B1060000}"/>
    <cellStyle name="Normal 4 4 4 3" xfId="2304" xr:uid="{00000000-0005-0000-0000-0000B2060000}"/>
    <cellStyle name="Normal 4 5" xfId="446" xr:uid="{00000000-0005-0000-0000-0000B3060000}"/>
    <cellStyle name="Normal 4 5 2" xfId="1899" xr:uid="{00000000-0005-0000-0000-0000B4060000}"/>
    <cellStyle name="Normal 4 5 3" xfId="2625" xr:uid="{00000000-0005-0000-0000-0000B5060000}"/>
    <cellStyle name="Normal 4 6" xfId="544" xr:uid="{00000000-0005-0000-0000-0000B6060000}"/>
    <cellStyle name="Normal 4 7" xfId="2677" xr:uid="{00000000-0005-0000-0000-0000B7060000}"/>
    <cellStyle name="Normal 40" xfId="207" xr:uid="{00000000-0005-0000-0000-0000B8060000}"/>
    <cellStyle name="Normal 400" xfId="1368" xr:uid="{00000000-0005-0000-0000-0000B9060000}"/>
    <cellStyle name="Normal 401" xfId="2090" xr:uid="{00000000-0005-0000-0000-0000BA060000}"/>
    <cellStyle name="Normal 402" xfId="2091" xr:uid="{00000000-0005-0000-0000-0000BB060000}"/>
    <cellStyle name="Normal 403" xfId="2092" xr:uid="{00000000-0005-0000-0000-0000BC060000}"/>
    <cellStyle name="Normal 404" xfId="2093" xr:uid="{00000000-0005-0000-0000-0000BD060000}"/>
    <cellStyle name="Normal 405" xfId="2094" xr:uid="{00000000-0005-0000-0000-0000BE060000}"/>
    <cellStyle name="Normal 406" xfId="2095" xr:uid="{00000000-0005-0000-0000-0000BF060000}"/>
    <cellStyle name="Normal 407" xfId="2096" xr:uid="{00000000-0005-0000-0000-0000C0060000}"/>
    <cellStyle name="Normal 408" xfId="2097" xr:uid="{00000000-0005-0000-0000-0000C1060000}"/>
    <cellStyle name="Normal 409" xfId="2098" xr:uid="{00000000-0005-0000-0000-0000C2060000}"/>
    <cellStyle name="Normal 41" xfId="211" xr:uid="{00000000-0005-0000-0000-0000C3060000}"/>
    <cellStyle name="Normal 410" xfId="2099" xr:uid="{00000000-0005-0000-0000-0000C4060000}"/>
    <cellStyle name="Normal 411" xfId="2100" xr:uid="{00000000-0005-0000-0000-0000C5060000}"/>
    <cellStyle name="Normal 412" xfId="2101" xr:uid="{00000000-0005-0000-0000-0000C6060000}"/>
    <cellStyle name="Normal 413" xfId="2102" xr:uid="{00000000-0005-0000-0000-0000C7060000}"/>
    <cellStyle name="Normal 414" xfId="2103" xr:uid="{00000000-0005-0000-0000-0000C8060000}"/>
    <cellStyle name="Normal 415" xfId="2104" xr:uid="{00000000-0005-0000-0000-0000C9060000}"/>
    <cellStyle name="Normal 416" xfId="2105" xr:uid="{00000000-0005-0000-0000-0000CA060000}"/>
    <cellStyle name="Normal 417" xfId="2106" xr:uid="{00000000-0005-0000-0000-0000CB060000}"/>
    <cellStyle name="Normal 418" xfId="2107" xr:uid="{00000000-0005-0000-0000-0000CC060000}"/>
    <cellStyle name="Normal 419" xfId="2108" xr:uid="{00000000-0005-0000-0000-0000CD060000}"/>
    <cellStyle name="Normal 42" xfId="212" xr:uid="{00000000-0005-0000-0000-0000CE060000}"/>
    <cellStyle name="Normal 420" xfId="2109" xr:uid="{00000000-0005-0000-0000-0000CF060000}"/>
    <cellStyle name="Normal 421" xfId="2110" xr:uid="{00000000-0005-0000-0000-0000D0060000}"/>
    <cellStyle name="Normal 422" xfId="2129" xr:uid="{00000000-0005-0000-0000-0000D1060000}"/>
    <cellStyle name="Normal 423" xfId="2159" xr:uid="{00000000-0005-0000-0000-0000D2060000}"/>
    <cellStyle name="Normal 424" xfId="2160" xr:uid="{00000000-0005-0000-0000-0000D3060000}"/>
    <cellStyle name="Normal 425" xfId="2161" xr:uid="{00000000-0005-0000-0000-0000D4060000}"/>
    <cellStyle name="Normal 426" xfId="2162" xr:uid="{00000000-0005-0000-0000-0000D5060000}"/>
    <cellStyle name="Normal 427" xfId="2163" xr:uid="{00000000-0005-0000-0000-0000D6060000}"/>
    <cellStyle name="Normal 428" xfId="2164" xr:uid="{00000000-0005-0000-0000-0000D7060000}"/>
    <cellStyle name="Normal 429" xfId="2165" xr:uid="{00000000-0005-0000-0000-0000D8060000}"/>
    <cellStyle name="Normal 43" xfId="218" xr:uid="{00000000-0005-0000-0000-0000D9060000}"/>
    <cellStyle name="Normal 43 2" xfId="1900" xr:uid="{00000000-0005-0000-0000-0000DA060000}"/>
    <cellStyle name="Normal 43 3" xfId="2303" xr:uid="{00000000-0005-0000-0000-0000DB060000}"/>
    <cellStyle name="Normal 430" xfId="2166" xr:uid="{00000000-0005-0000-0000-0000DC060000}"/>
    <cellStyle name="Normal 431" xfId="2167" xr:uid="{00000000-0005-0000-0000-0000DD060000}"/>
    <cellStyle name="Normal 432" xfId="2168" xr:uid="{00000000-0005-0000-0000-0000DE060000}"/>
    <cellStyle name="Normal 433" xfId="2169" xr:uid="{00000000-0005-0000-0000-0000DF060000}"/>
    <cellStyle name="Normal 434" xfId="2170" xr:uid="{00000000-0005-0000-0000-0000E0060000}"/>
    <cellStyle name="Normal 435" xfId="2171" xr:uid="{00000000-0005-0000-0000-0000E1060000}"/>
    <cellStyle name="Normal 436" xfId="2172" xr:uid="{00000000-0005-0000-0000-0000E2060000}"/>
    <cellStyle name="Normal 437" xfId="2173" xr:uid="{00000000-0005-0000-0000-0000E3060000}"/>
    <cellStyle name="Normal 438" xfId="2174" xr:uid="{00000000-0005-0000-0000-0000E4060000}"/>
    <cellStyle name="Normal 439" xfId="2175" xr:uid="{00000000-0005-0000-0000-0000E5060000}"/>
    <cellStyle name="Normal 44" xfId="226" xr:uid="{00000000-0005-0000-0000-0000E6060000}"/>
    <cellStyle name="Normal 44 2" xfId="1901" xr:uid="{00000000-0005-0000-0000-0000E7060000}"/>
    <cellStyle name="Normal 44 3" xfId="2302" xr:uid="{00000000-0005-0000-0000-0000E8060000}"/>
    <cellStyle name="Normal 440" xfId="2176" xr:uid="{00000000-0005-0000-0000-0000E9060000}"/>
    <cellStyle name="Normal 441" xfId="2177" xr:uid="{00000000-0005-0000-0000-0000EA060000}"/>
    <cellStyle name="Normal 442" xfId="2178" xr:uid="{00000000-0005-0000-0000-0000EB060000}"/>
    <cellStyle name="Normal 443" xfId="2179" xr:uid="{00000000-0005-0000-0000-0000EC060000}"/>
    <cellStyle name="Normal 444" xfId="2180" xr:uid="{00000000-0005-0000-0000-0000ED060000}"/>
    <cellStyle name="Normal 445" xfId="2181" xr:uid="{00000000-0005-0000-0000-0000EE060000}"/>
    <cellStyle name="Normal 446" xfId="2182" xr:uid="{00000000-0005-0000-0000-0000EF060000}"/>
    <cellStyle name="Normal 447" xfId="2183" xr:uid="{00000000-0005-0000-0000-0000F0060000}"/>
    <cellStyle name="Normal 448" xfId="2184" xr:uid="{00000000-0005-0000-0000-0000F1060000}"/>
    <cellStyle name="Normal 449" xfId="2121" xr:uid="{00000000-0005-0000-0000-0000F2060000}"/>
    <cellStyle name="Normal 45" xfId="216" xr:uid="{00000000-0005-0000-0000-0000F3060000}"/>
    <cellStyle name="Normal 45 2" xfId="235" xr:uid="{00000000-0005-0000-0000-0000F4060000}"/>
    <cellStyle name="Normal 45 3" xfId="234" xr:uid="{00000000-0005-0000-0000-0000F5060000}"/>
    <cellStyle name="Normal 45 3 2" xfId="1902" xr:uid="{00000000-0005-0000-0000-0000F6060000}"/>
    <cellStyle name="Normal 45 3 3" xfId="2301" xr:uid="{00000000-0005-0000-0000-0000F7060000}"/>
    <cellStyle name="Normal 45 4" xfId="858" xr:uid="{00000000-0005-0000-0000-0000F8060000}"/>
    <cellStyle name="Normal 450" xfId="2186" xr:uid="{00000000-0005-0000-0000-0000F9060000}"/>
    <cellStyle name="Normal 451" xfId="2187" xr:uid="{00000000-0005-0000-0000-0000FA060000}"/>
    <cellStyle name="Normal 452" xfId="2188" xr:uid="{00000000-0005-0000-0000-0000FB060000}"/>
    <cellStyle name="Normal 453" xfId="2189" xr:uid="{00000000-0005-0000-0000-0000FC060000}"/>
    <cellStyle name="Normal 454" xfId="2190" xr:uid="{00000000-0005-0000-0000-0000FD060000}"/>
    <cellStyle name="Normal 455" xfId="2191" xr:uid="{00000000-0005-0000-0000-0000FE060000}"/>
    <cellStyle name="Normal 456" xfId="2192" xr:uid="{00000000-0005-0000-0000-0000FF060000}"/>
    <cellStyle name="Normal 457" xfId="2193" xr:uid="{00000000-0005-0000-0000-000000070000}"/>
    <cellStyle name="Normal 458" xfId="2194" xr:uid="{00000000-0005-0000-0000-000001070000}"/>
    <cellStyle name="Normal 459" xfId="2195" xr:uid="{00000000-0005-0000-0000-000002070000}"/>
    <cellStyle name="Normal 46" xfId="227" xr:uid="{00000000-0005-0000-0000-000003070000}"/>
    <cellStyle name="Normal 46 2" xfId="1903" xr:uid="{00000000-0005-0000-0000-000004070000}"/>
    <cellStyle name="Normal 46 3" xfId="2300" xr:uid="{00000000-0005-0000-0000-000005070000}"/>
    <cellStyle name="Normal 460" xfId="2196" xr:uid="{00000000-0005-0000-0000-000006070000}"/>
    <cellStyle name="Normal 461" xfId="2197" xr:uid="{00000000-0005-0000-0000-000007070000}"/>
    <cellStyle name="Normal 462" xfId="2198" xr:uid="{00000000-0005-0000-0000-000008070000}"/>
    <cellStyle name="Normal 463" xfId="2199" xr:uid="{00000000-0005-0000-0000-000009070000}"/>
    <cellStyle name="Normal 464" xfId="2200" xr:uid="{00000000-0005-0000-0000-00000A070000}"/>
    <cellStyle name="Normal 465" xfId="2201" xr:uid="{00000000-0005-0000-0000-00000B070000}"/>
    <cellStyle name="Normal 466" xfId="2202" xr:uid="{00000000-0005-0000-0000-00000C070000}"/>
    <cellStyle name="Normal 467" xfId="2554" xr:uid="{00000000-0005-0000-0000-00000D070000}"/>
    <cellStyle name="Normal 467 2" xfId="2517" xr:uid="{00000000-0005-0000-0000-00000E070000}"/>
    <cellStyle name="Normal 468" xfId="2561" xr:uid="{00000000-0005-0000-0000-00000F070000}"/>
    <cellStyle name="Normal 468 2" xfId="2518" xr:uid="{00000000-0005-0000-0000-000010070000}"/>
    <cellStyle name="Normal 469" xfId="2584" xr:uid="{00000000-0005-0000-0000-000011070000}"/>
    <cellStyle name="Normal 469 2" xfId="2516" xr:uid="{00000000-0005-0000-0000-000012070000}"/>
    <cellStyle name="Normal 47" xfId="224" xr:uid="{00000000-0005-0000-0000-000013070000}"/>
    <cellStyle name="Normal 47 2" xfId="1904" xr:uid="{00000000-0005-0000-0000-000014070000}"/>
    <cellStyle name="Normal 47 3" xfId="2623" xr:uid="{00000000-0005-0000-0000-000015070000}"/>
    <cellStyle name="Normal 470" xfId="2636" xr:uid="{00000000-0005-0000-0000-000016070000}"/>
    <cellStyle name="Normal 471" xfId="2653" xr:uid="{00000000-0005-0000-0000-000017070000}"/>
    <cellStyle name="Normal 472" xfId="2589" xr:uid="{00000000-0005-0000-0000-000018070000}"/>
    <cellStyle name="Normal 473" xfId="2678" xr:uid="{00000000-0005-0000-0000-000019070000}"/>
    <cellStyle name="Normal 474" xfId="2577" xr:uid="{00000000-0005-0000-0000-00001A070000}"/>
    <cellStyle name="Normal 475" xfId="2558" xr:uid="{00000000-0005-0000-0000-00001B070000}"/>
    <cellStyle name="Normal 476" xfId="2586" xr:uid="{00000000-0005-0000-0000-00001C070000}"/>
    <cellStyle name="Normal 477" xfId="2684" xr:uid="{00000000-0005-0000-0000-00001D070000}"/>
    <cellStyle name="Normal 478" xfId="2656" xr:uid="{00000000-0005-0000-0000-00001E070000}"/>
    <cellStyle name="Normal 479" xfId="2662" xr:uid="{00000000-0005-0000-0000-00001F070000}"/>
    <cellStyle name="Normal 48" xfId="214" xr:uid="{00000000-0005-0000-0000-000020070000}"/>
    <cellStyle name="Normal 48 2" xfId="611" xr:uid="{00000000-0005-0000-0000-000021070000}"/>
    <cellStyle name="Normal 48 2 2" xfId="861" xr:uid="{00000000-0005-0000-0000-000022070000}"/>
    <cellStyle name="Normal 48 2 3" xfId="1905" xr:uid="{00000000-0005-0000-0000-000023070000}"/>
    <cellStyle name="Normal 48 2 4" xfId="2299" xr:uid="{00000000-0005-0000-0000-000024070000}"/>
    <cellStyle name="Normal 480" xfId="2593" xr:uid="{00000000-0005-0000-0000-000025070000}"/>
    <cellStyle name="Normal 481" xfId="2680" xr:uid="{00000000-0005-0000-0000-000026070000}"/>
    <cellStyle name="Normal 482" xfId="2580" xr:uid="{00000000-0005-0000-0000-000027070000}"/>
    <cellStyle name="Normal 483" xfId="2564" xr:uid="{00000000-0005-0000-0000-000028070000}"/>
    <cellStyle name="Normal 484" xfId="2573" xr:uid="{00000000-0005-0000-0000-000029070000}"/>
    <cellStyle name="Normal 485" xfId="2681" xr:uid="{00000000-0005-0000-0000-00002A070000}"/>
    <cellStyle name="Normal 486" xfId="2661" xr:uid="{00000000-0005-0000-0000-00002B070000}"/>
    <cellStyle name="Normal 487" xfId="2562" xr:uid="{00000000-0005-0000-0000-00002C070000}"/>
    <cellStyle name="Normal 488" xfId="2568" xr:uid="{00000000-0005-0000-0000-00002D070000}"/>
    <cellStyle name="Normal 489" xfId="2569" xr:uid="{00000000-0005-0000-0000-00002E070000}"/>
    <cellStyle name="Normal 49" xfId="215" xr:uid="{00000000-0005-0000-0000-00002F070000}"/>
    <cellStyle name="Normal 49 2" xfId="612" xr:uid="{00000000-0005-0000-0000-000030070000}"/>
    <cellStyle name="Normal 49 2 2" xfId="860" xr:uid="{00000000-0005-0000-0000-000031070000}"/>
    <cellStyle name="Normal 49 2 3" xfId="1906" xr:uid="{00000000-0005-0000-0000-000032070000}"/>
    <cellStyle name="Normal 49 2 4" xfId="2622" xr:uid="{00000000-0005-0000-0000-000033070000}"/>
    <cellStyle name="Normal 490" xfId="2571" xr:uid="{00000000-0005-0000-0000-000034070000}"/>
    <cellStyle name="Normal 491" xfId="2582" xr:uid="{00000000-0005-0000-0000-000035070000}"/>
    <cellStyle name="Normal 492" xfId="2563" xr:uid="{00000000-0005-0000-0000-000036070000}"/>
    <cellStyle name="Normal 493" xfId="2565" xr:uid="{00000000-0005-0000-0000-000037070000}"/>
    <cellStyle name="Normal 494" xfId="2578" xr:uid="{00000000-0005-0000-0000-000038070000}"/>
    <cellStyle name="Normal 495" xfId="2576" xr:uid="{00000000-0005-0000-0000-000039070000}"/>
    <cellStyle name="Normal 496" xfId="2591" xr:uid="{00000000-0005-0000-0000-00003A070000}"/>
    <cellStyle name="Normal 497" xfId="2668" xr:uid="{00000000-0005-0000-0000-00003B070000}"/>
    <cellStyle name="Normal 498" xfId="2666" xr:uid="{00000000-0005-0000-0000-00003C070000}"/>
    <cellStyle name="Normal 499" xfId="2579" xr:uid="{00000000-0005-0000-0000-00003D070000}"/>
    <cellStyle name="Normal 499 2" xfId="2875" xr:uid="{00000000-0005-0000-0000-00003E070000}"/>
    <cellStyle name="Normal 5" xfId="128" xr:uid="{00000000-0005-0000-0000-00003F070000}"/>
    <cellStyle name="Normal 5 2" xfId="129" xr:uid="{00000000-0005-0000-0000-000040070000}"/>
    <cellStyle name="Normal 5 2 2" xfId="447" xr:uid="{00000000-0005-0000-0000-000041070000}"/>
    <cellStyle name="Normal 5 2 3" xfId="1908" xr:uid="{00000000-0005-0000-0000-000042070000}"/>
    <cellStyle name="Normal 5 2 4" xfId="2297" xr:uid="{00000000-0005-0000-0000-000043070000}"/>
    <cellStyle name="Normal 5 3" xfId="184" xr:uid="{00000000-0005-0000-0000-000044070000}"/>
    <cellStyle name="Normal 5 4" xfId="1907" xr:uid="{00000000-0005-0000-0000-000045070000}"/>
    <cellStyle name="Normal 5 5" xfId="2298" xr:uid="{00000000-0005-0000-0000-000046070000}"/>
    <cellStyle name="Normal 50" xfId="236" xr:uid="{00000000-0005-0000-0000-000047070000}"/>
    <cellStyle name="Normal 50 2" xfId="1909" xr:uid="{00000000-0005-0000-0000-000048070000}"/>
    <cellStyle name="Normal 50 3" xfId="2621" xr:uid="{00000000-0005-0000-0000-000049070000}"/>
    <cellStyle name="Normal 500" xfId="2203" xr:uid="{00000000-0005-0000-0000-00004A070000}"/>
    <cellStyle name="Normal 501" xfId="2687" xr:uid="{00000000-0005-0000-0000-00004B070000}"/>
    <cellStyle name="Normal 502" xfId="2754" xr:uid="{00000000-0005-0000-0000-00004C070000}"/>
    <cellStyle name="Normal 503" xfId="3020" xr:uid="{00000000-0005-0000-0000-00004D070000}"/>
    <cellStyle name="Normal 504" xfId="3021" xr:uid="{00000000-0005-0000-0000-00004E070000}"/>
    <cellStyle name="Normal 505" xfId="3022" xr:uid="{00000000-0005-0000-0000-00004F070000}"/>
    <cellStyle name="Normal 506" xfId="3023" xr:uid="{00000000-0005-0000-0000-000050070000}"/>
    <cellStyle name="Normal 507" xfId="3024" xr:uid="{00000000-0005-0000-0000-000051070000}"/>
    <cellStyle name="Normal 508" xfId="2755" xr:uid="{00000000-0005-0000-0000-000052070000}"/>
    <cellStyle name="Normal 509" xfId="2874" xr:uid="{00000000-0005-0000-0000-000053070000}"/>
    <cellStyle name="Normal 51" xfId="228" xr:uid="{00000000-0005-0000-0000-000054070000}"/>
    <cellStyle name="Normal 51 2" xfId="613" xr:uid="{00000000-0005-0000-0000-000055070000}"/>
    <cellStyle name="Normal 51 2 2" xfId="818" xr:uid="{00000000-0005-0000-0000-000056070000}"/>
    <cellStyle name="Normal 51 2 3" xfId="879" xr:uid="{00000000-0005-0000-0000-000057070000}"/>
    <cellStyle name="Normal 51 2 3 2" xfId="1911" xr:uid="{00000000-0005-0000-0000-000058070000}"/>
    <cellStyle name="Normal 51 2 3 3" xfId="2296" xr:uid="{00000000-0005-0000-0000-000059070000}"/>
    <cellStyle name="Normal 51 3" xfId="1910" xr:uid="{00000000-0005-0000-0000-00005A070000}"/>
    <cellStyle name="Normal 51 4" xfId="2620" xr:uid="{00000000-0005-0000-0000-00005B070000}"/>
    <cellStyle name="Normal 510" xfId="2756" xr:uid="{00000000-0005-0000-0000-00005C070000}"/>
    <cellStyle name="Normal 511" xfId="3025" xr:uid="{00000000-0005-0000-0000-00005D070000}"/>
    <cellStyle name="Normal 512" xfId="3028" xr:uid="{00000000-0005-0000-0000-00005E070000}"/>
    <cellStyle name="Normal 513" xfId="3026" xr:uid="{00000000-0005-0000-0000-00005F070000}"/>
    <cellStyle name="Normal 514" xfId="3027" xr:uid="{00000000-0005-0000-0000-000060070000}"/>
    <cellStyle name="Normal 515" xfId="3029" xr:uid="{00000000-0005-0000-0000-000061070000}"/>
    <cellStyle name="Normal 516" xfId="3033" xr:uid="{00000000-0005-0000-0000-000062070000}"/>
    <cellStyle name="Normal 52" xfId="238" xr:uid="{00000000-0005-0000-0000-000063070000}"/>
    <cellStyle name="Normal 52 2" xfId="614" xr:uid="{00000000-0005-0000-0000-000064070000}"/>
    <cellStyle name="Normal 52 2 2" xfId="823" xr:uid="{00000000-0005-0000-0000-000065070000}"/>
    <cellStyle name="Normal 52 2 3" xfId="880" xr:uid="{00000000-0005-0000-0000-000066070000}"/>
    <cellStyle name="Normal 52 2 3 2" xfId="1913" xr:uid="{00000000-0005-0000-0000-000067070000}"/>
    <cellStyle name="Normal 52 2 3 3" xfId="2294" xr:uid="{00000000-0005-0000-0000-000068070000}"/>
    <cellStyle name="Normal 52 3" xfId="1912" xr:uid="{00000000-0005-0000-0000-000069070000}"/>
    <cellStyle name="Normal 52 4" xfId="2295" xr:uid="{00000000-0005-0000-0000-00006A070000}"/>
    <cellStyle name="Normal 53" xfId="246" xr:uid="{00000000-0005-0000-0000-00006B070000}"/>
    <cellStyle name="Normal 53 2" xfId="1914" xr:uid="{00000000-0005-0000-0000-00006C070000}"/>
    <cellStyle name="Normal 53 3" xfId="2293" xr:uid="{00000000-0005-0000-0000-00006D070000}"/>
    <cellStyle name="Normal 54" xfId="247" xr:uid="{00000000-0005-0000-0000-00006E070000}"/>
    <cellStyle name="Normal 54 2" xfId="1915" xr:uid="{00000000-0005-0000-0000-00006F070000}"/>
    <cellStyle name="Normal 54 3" xfId="2292" xr:uid="{00000000-0005-0000-0000-000070070000}"/>
    <cellStyle name="Normal 55" xfId="248" xr:uid="{00000000-0005-0000-0000-000071070000}"/>
    <cellStyle name="Normal 55 2" xfId="1916" xr:uid="{00000000-0005-0000-0000-000072070000}"/>
    <cellStyle name="Normal 55 3" xfId="2291" xr:uid="{00000000-0005-0000-0000-000073070000}"/>
    <cellStyle name="Normal 56" xfId="249" xr:uid="{00000000-0005-0000-0000-000074070000}"/>
    <cellStyle name="Normal 56 2" xfId="1917" xr:uid="{00000000-0005-0000-0000-000075070000}"/>
    <cellStyle name="Normal 56 3" xfId="2290" xr:uid="{00000000-0005-0000-0000-000076070000}"/>
    <cellStyle name="Normal 57" xfId="250" xr:uid="{00000000-0005-0000-0000-000077070000}"/>
    <cellStyle name="Normal 57 2" xfId="671" xr:uid="{00000000-0005-0000-0000-000078070000}"/>
    <cellStyle name="Normal 57 2 2" xfId="1919" xr:uid="{00000000-0005-0000-0000-000079070000}"/>
    <cellStyle name="Normal 57 2 3" xfId="2288" xr:uid="{00000000-0005-0000-0000-00007A070000}"/>
    <cellStyle name="Normal 57 3" xfId="672" xr:uid="{00000000-0005-0000-0000-00007B070000}"/>
    <cellStyle name="Normal 57 4" xfId="1918" xr:uid="{00000000-0005-0000-0000-00007C070000}"/>
    <cellStyle name="Normal 57 5" xfId="2289" xr:uid="{00000000-0005-0000-0000-00007D070000}"/>
    <cellStyle name="Normal 58" xfId="251" xr:uid="{00000000-0005-0000-0000-00007E070000}"/>
    <cellStyle name="Normal 58 2" xfId="1920" xr:uid="{00000000-0005-0000-0000-00007F070000}"/>
    <cellStyle name="Normal 58 3" xfId="2287" xr:uid="{00000000-0005-0000-0000-000080070000}"/>
    <cellStyle name="Normal 59" xfId="252" xr:uid="{00000000-0005-0000-0000-000081070000}"/>
    <cellStyle name="Normal 59 2" xfId="1921" xr:uid="{00000000-0005-0000-0000-000082070000}"/>
    <cellStyle name="Normal 59 3" xfId="2286" xr:uid="{00000000-0005-0000-0000-000083070000}"/>
    <cellStyle name="Normal 6" xfId="130" xr:uid="{00000000-0005-0000-0000-000084070000}"/>
    <cellStyle name="Normal 6 2" xfId="186" xr:uid="{00000000-0005-0000-0000-000085070000}"/>
    <cellStyle name="Normal 6 3" xfId="187" xr:uid="{00000000-0005-0000-0000-000086070000}"/>
    <cellStyle name="Normal 6 4" xfId="185" xr:uid="{00000000-0005-0000-0000-000087070000}"/>
    <cellStyle name="Normal 6 5" xfId="1922" xr:uid="{00000000-0005-0000-0000-000088070000}"/>
    <cellStyle name="Normal 6 6" xfId="2285" xr:uid="{00000000-0005-0000-0000-000089070000}"/>
    <cellStyle name="Normal 60" xfId="253" xr:uid="{00000000-0005-0000-0000-00008A070000}"/>
    <cellStyle name="Normal 60 2" xfId="1923" xr:uid="{00000000-0005-0000-0000-00008B070000}"/>
    <cellStyle name="Normal 60 3" xfId="2284" xr:uid="{00000000-0005-0000-0000-00008C070000}"/>
    <cellStyle name="Normal 61" xfId="254" xr:uid="{00000000-0005-0000-0000-00008D070000}"/>
    <cellStyle name="Normal 61 2" xfId="1924" xr:uid="{00000000-0005-0000-0000-00008E070000}"/>
    <cellStyle name="Normal 61 3" xfId="2283" xr:uid="{00000000-0005-0000-0000-00008F070000}"/>
    <cellStyle name="Normal 62" xfId="255" xr:uid="{00000000-0005-0000-0000-000090070000}"/>
    <cellStyle name="Normal 62 2" xfId="1925" xr:uid="{00000000-0005-0000-0000-000091070000}"/>
    <cellStyle name="Normal 62 3" xfId="2282" xr:uid="{00000000-0005-0000-0000-000092070000}"/>
    <cellStyle name="Normal 63" xfId="256" xr:uid="{00000000-0005-0000-0000-000093070000}"/>
    <cellStyle name="Normal 63 2" xfId="1926" xr:uid="{00000000-0005-0000-0000-000094070000}"/>
    <cellStyle name="Normal 63 3" xfId="2281" xr:uid="{00000000-0005-0000-0000-000095070000}"/>
    <cellStyle name="Normal 64" xfId="257" xr:uid="{00000000-0005-0000-0000-000096070000}"/>
    <cellStyle name="Normal 64 2" xfId="1927" xr:uid="{00000000-0005-0000-0000-000097070000}"/>
    <cellStyle name="Normal 64 3" xfId="2280" xr:uid="{00000000-0005-0000-0000-000098070000}"/>
    <cellStyle name="Normal 65" xfId="258" xr:uid="{00000000-0005-0000-0000-000099070000}"/>
    <cellStyle name="Normal 65 2" xfId="1928" xr:uid="{00000000-0005-0000-0000-00009A070000}"/>
    <cellStyle name="Normal 65 3" xfId="2279" xr:uid="{00000000-0005-0000-0000-00009B070000}"/>
    <cellStyle name="Normal 66" xfId="259" xr:uid="{00000000-0005-0000-0000-00009C070000}"/>
    <cellStyle name="Normal 66 2" xfId="1929" xr:uid="{00000000-0005-0000-0000-00009D070000}"/>
    <cellStyle name="Normal 66 3" xfId="2278" xr:uid="{00000000-0005-0000-0000-00009E070000}"/>
    <cellStyle name="Normal 67" xfId="260" xr:uid="{00000000-0005-0000-0000-00009F070000}"/>
    <cellStyle name="Normal 67 2" xfId="1930" xr:uid="{00000000-0005-0000-0000-0000A0070000}"/>
    <cellStyle name="Normal 67 3" xfId="2277" xr:uid="{00000000-0005-0000-0000-0000A1070000}"/>
    <cellStyle name="Normal 68" xfId="261" xr:uid="{00000000-0005-0000-0000-0000A2070000}"/>
    <cellStyle name="Normal 68 2" xfId="1931" xr:uid="{00000000-0005-0000-0000-0000A3070000}"/>
    <cellStyle name="Normal 68 3" xfId="2276" xr:uid="{00000000-0005-0000-0000-0000A4070000}"/>
    <cellStyle name="Normal 69" xfId="262" xr:uid="{00000000-0005-0000-0000-0000A5070000}"/>
    <cellStyle name="Normal 69 2" xfId="1932" xr:uid="{00000000-0005-0000-0000-0000A6070000}"/>
    <cellStyle name="Normal 69 3" xfId="2275" xr:uid="{00000000-0005-0000-0000-0000A7070000}"/>
    <cellStyle name="Normal 7" xfId="3" xr:uid="{00000000-0005-0000-0000-0000A8070000}"/>
    <cellStyle name="Normal 7 2" xfId="131" xr:uid="{00000000-0005-0000-0000-0000A9070000}"/>
    <cellStyle name="Normal 7 2 2" xfId="545" xr:uid="{00000000-0005-0000-0000-0000AA070000}"/>
    <cellStyle name="Normal 7 2 3" xfId="448" xr:uid="{00000000-0005-0000-0000-0000AB070000}"/>
    <cellStyle name="Normal 7 2 3 2" xfId="1933" xr:uid="{00000000-0005-0000-0000-0000AC070000}"/>
    <cellStyle name="Normal 7 2 3 3" xfId="2274" xr:uid="{00000000-0005-0000-0000-0000AD070000}"/>
    <cellStyle name="Normal 7 2 4" xfId="2673" xr:uid="{00000000-0005-0000-0000-0000AE070000}"/>
    <cellStyle name="Normal 7 2 5" xfId="2672" xr:uid="{00000000-0005-0000-0000-0000AF070000}"/>
    <cellStyle name="Normal 7 3" xfId="220" xr:uid="{00000000-0005-0000-0000-0000B0070000}"/>
    <cellStyle name="Normal 7 3 2" xfId="450" xr:uid="{00000000-0005-0000-0000-0000B1070000}"/>
    <cellStyle name="Normal 7 3 2 2" xfId="1934" xr:uid="{00000000-0005-0000-0000-0000B2070000}"/>
    <cellStyle name="Normal 7 3 2 3" xfId="2273" xr:uid="{00000000-0005-0000-0000-0000B3070000}"/>
    <cellStyle name="Normal 7 3 3" xfId="451" xr:uid="{00000000-0005-0000-0000-0000B4070000}"/>
    <cellStyle name="Normal 7 3 3 2" xfId="452" xr:uid="{00000000-0005-0000-0000-0000B5070000}"/>
    <cellStyle name="Normal 7 3 3 2 2" xfId="1936" xr:uid="{00000000-0005-0000-0000-0000B6070000}"/>
    <cellStyle name="Normal 7 3 3 2 3" xfId="2271" xr:uid="{00000000-0005-0000-0000-0000B7070000}"/>
    <cellStyle name="Normal 7 3 3 3" xfId="1935" xr:uid="{00000000-0005-0000-0000-0000B8070000}"/>
    <cellStyle name="Normal 7 3 3 4" xfId="2272" xr:uid="{00000000-0005-0000-0000-0000B9070000}"/>
    <cellStyle name="Normal 7 3 4" xfId="555" xr:uid="{00000000-0005-0000-0000-0000BA070000}"/>
    <cellStyle name="Normal 7 3 5" xfId="449" xr:uid="{00000000-0005-0000-0000-0000BB070000}"/>
    <cellStyle name="Normal 7 3 5 2" xfId="1937" xr:uid="{00000000-0005-0000-0000-0000BC070000}"/>
    <cellStyle name="Normal 7 3 5 3" xfId="2270" xr:uid="{00000000-0005-0000-0000-0000BD070000}"/>
    <cellStyle name="Normal 7 4" xfId="453" xr:uid="{00000000-0005-0000-0000-0000BE070000}"/>
    <cellStyle name="Normal 7 4 2" xfId="454" xr:uid="{00000000-0005-0000-0000-0000BF070000}"/>
    <cellStyle name="Normal 7 4 2 2" xfId="455" xr:uid="{00000000-0005-0000-0000-0000C0070000}"/>
    <cellStyle name="Normal 7 4 2 2 2" xfId="1940" xr:uid="{00000000-0005-0000-0000-0000C1070000}"/>
    <cellStyle name="Normal 7 4 2 2 3" xfId="2267" xr:uid="{00000000-0005-0000-0000-0000C2070000}"/>
    <cellStyle name="Normal 7 4 2 3" xfId="1939" xr:uid="{00000000-0005-0000-0000-0000C3070000}"/>
    <cellStyle name="Normal 7 4 2 4" xfId="2268" xr:uid="{00000000-0005-0000-0000-0000C4070000}"/>
    <cellStyle name="Normal 7 4 3" xfId="1938" xr:uid="{00000000-0005-0000-0000-0000C5070000}"/>
    <cellStyle name="Normal 7 4 4" xfId="2269" xr:uid="{00000000-0005-0000-0000-0000C6070000}"/>
    <cellStyle name="Normal 7 5" xfId="456" xr:uid="{00000000-0005-0000-0000-0000C7070000}"/>
    <cellStyle name="Normal 7 5 2" xfId="1941" xr:uid="{00000000-0005-0000-0000-0000C8070000}"/>
    <cellStyle name="Normal 7 5 3" xfId="2266" xr:uid="{00000000-0005-0000-0000-0000C9070000}"/>
    <cellStyle name="Normal 7 6" xfId="482" xr:uid="{00000000-0005-0000-0000-0000CA070000}"/>
    <cellStyle name="Normal 70" xfId="263" xr:uid="{00000000-0005-0000-0000-0000CB070000}"/>
    <cellStyle name="Normal 70 2" xfId="1942" xr:uid="{00000000-0005-0000-0000-0000CC070000}"/>
    <cellStyle name="Normal 70 3" xfId="2265" xr:uid="{00000000-0005-0000-0000-0000CD070000}"/>
    <cellStyle name="Normal 71" xfId="264" xr:uid="{00000000-0005-0000-0000-0000CE070000}"/>
    <cellStyle name="Normal 71 2" xfId="1943" xr:uid="{00000000-0005-0000-0000-0000CF070000}"/>
    <cellStyle name="Normal 71 3" xfId="2264" xr:uid="{00000000-0005-0000-0000-0000D0070000}"/>
    <cellStyle name="Normal 72" xfId="265" xr:uid="{00000000-0005-0000-0000-0000D1070000}"/>
    <cellStyle name="Normal 72 2" xfId="1944" xr:uid="{00000000-0005-0000-0000-0000D2070000}"/>
    <cellStyle name="Normal 72 3" xfId="2263" xr:uid="{00000000-0005-0000-0000-0000D3070000}"/>
    <cellStyle name="Normal 73" xfId="239" xr:uid="{00000000-0005-0000-0000-0000D4070000}"/>
    <cellStyle name="Normal 73 2" xfId="615" xr:uid="{00000000-0005-0000-0000-0000D5070000}"/>
    <cellStyle name="Normal 73 2 2" xfId="824" xr:uid="{00000000-0005-0000-0000-0000D6070000}"/>
    <cellStyle name="Normal 73 2 3" xfId="881" xr:uid="{00000000-0005-0000-0000-0000D7070000}"/>
    <cellStyle name="Normal 73 2 3 2" xfId="1946" xr:uid="{00000000-0005-0000-0000-0000D8070000}"/>
    <cellStyle name="Normal 73 2 3 3" xfId="2261" xr:uid="{00000000-0005-0000-0000-0000D9070000}"/>
    <cellStyle name="Normal 73 3" xfId="1945" xr:uid="{00000000-0005-0000-0000-0000DA070000}"/>
    <cellStyle name="Normal 73 4" xfId="2262" xr:uid="{00000000-0005-0000-0000-0000DB070000}"/>
    <cellStyle name="Normal 74" xfId="268" xr:uid="{00000000-0005-0000-0000-0000DC070000}"/>
    <cellStyle name="Normal 74 2" xfId="616" xr:uid="{00000000-0005-0000-0000-0000DD070000}"/>
    <cellStyle name="Normal 74 2 2" xfId="825" xr:uid="{00000000-0005-0000-0000-0000DE070000}"/>
    <cellStyle name="Normal 74 2 3" xfId="882" xr:uid="{00000000-0005-0000-0000-0000DF070000}"/>
    <cellStyle name="Normal 74 2 3 2" xfId="1948" xr:uid="{00000000-0005-0000-0000-0000E0070000}"/>
    <cellStyle name="Normal 74 2 3 3" xfId="2259" xr:uid="{00000000-0005-0000-0000-0000E1070000}"/>
    <cellStyle name="Normal 74 3" xfId="1947" xr:uid="{00000000-0005-0000-0000-0000E2070000}"/>
    <cellStyle name="Normal 74 4" xfId="2260" xr:uid="{00000000-0005-0000-0000-0000E3070000}"/>
    <cellStyle name="Normal 75" xfId="269" xr:uid="{00000000-0005-0000-0000-0000E4070000}"/>
    <cellStyle name="Normal 75 2" xfId="617" xr:uid="{00000000-0005-0000-0000-0000E5070000}"/>
    <cellStyle name="Normal 75 2 2" xfId="826" xr:uid="{00000000-0005-0000-0000-0000E6070000}"/>
    <cellStyle name="Normal 75 2 3" xfId="883" xr:uid="{00000000-0005-0000-0000-0000E7070000}"/>
    <cellStyle name="Normal 75 2 3 2" xfId="1950" xr:uid="{00000000-0005-0000-0000-0000E8070000}"/>
    <cellStyle name="Normal 75 2 3 3" xfId="2257" xr:uid="{00000000-0005-0000-0000-0000E9070000}"/>
    <cellStyle name="Normal 75 3" xfId="1949" xr:uid="{00000000-0005-0000-0000-0000EA070000}"/>
    <cellStyle name="Normal 75 4" xfId="2258" xr:uid="{00000000-0005-0000-0000-0000EB070000}"/>
    <cellStyle name="Normal 76" xfId="270" xr:uid="{00000000-0005-0000-0000-0000EC070000}"/>
    <cellStyle name="Normal 76 2" xfId="618" xr:uid="{00000000-0005-0000-0000-0000ED070000}"/>
    <cellStyle name="Normal 76 2 2" xfId="827" xr:uid="{00000000-0005-0000-0000-0000EE070000}"/>
    <cellStyle name="Normal 76 2 3" xfId="884" xr:uid="{00000000-0005-0000-0000-0000EF070000}"/>
    <cellStyle name="Normal 76 2 3 2" xfId="1952" xr:uid="{00000000-0005-0000-0000-0000F0070000}"/>
    <cellStyle name="Normal 76 2 3 3" xfId="2255" xr:uid="{00000000-0005-0000-0000-0000F1070000}"/>
    <cellStyle name="Normal 76 3" xfId="1951" xr:uid="{00000000-0005-0000-0000-0000F2070000}"/>
    <cellStyle name="Normal 76 4" xfId="2256" xr:uid="{00000000-0005-0000-0000-0000F3070000}"/>
    <cellStyle name="Normal 77" xfId="271" xr:uid="{00000000-0005-0000-0000-0000F4070000}"/>
    <cellStyle name="Normal 77 2" xfId="619" xr:uid="{00000000-0005-0000-0000-0000F5070000}"/>
    <cellStyle name="Normal 77 2 2" xfId="828" xr:uid="{00000000-0005-0000-0000-0000F6070000}"/>
    <cellStyle name="Normal 77 2 3" xfId="885" xr:uid="{00000000-0005-0000-0000-0000F7070000}"/>
    <cellStyle name="Normal 77 2 3 2" xfId="1954" xr:uid="{00000000-0005-0000-0000-0000F8070000}"/>
    <cellStyle name="Normal 77 2 3 3" xfId="2253" xr:uid="{00000000-0005-0000-0000-0000F9070000}"/>
    <cellStyle name="Normal 77 3" xfId="1953" xr:uid="{00000000-0005-0000-0000-0000FA070000}"/>
    <cellStyle name="Normal 77 4" xfId="2254" xr:uid="{00000000-0005-0000-0000-0000FB070000}"/>
    <cellStyle name="Normal 78" xfId="267" xr:uid="{00000000-0005-0000-0000-0000FC070000}"/>
    <cellStyle name="Normal 78 2" xfId="620" xr:uid="{00000000-0005-0000-0000-0000FD070000}"/>
    <cellStyle name="Normal 78 2 2" xfId="829" xr:uid="{00000000-0005-0000-0000-0000FE070000}"/>
    <cellStyle name="Normal 78 2 3" xfId="886" xr:uid="{00000000-0005-0000-0000-0000FF070000}"/>
    <cellStyle name="Normal 78 2 3 2" xfId="1956" xr:uid="{00000000-0005-0000-0000-000000080000}"/>
    <cellStyle name="Normal 78 2 3 3" xfId="2251" xr:uid="{00000000-0005-0000-0000-000001080000}"/>
    <cellStyle name="Normal 78 3" xfId="1955" xr:uid="{00000000-0005-0000-0000-000002080000}"/>
    <cellStyle name="Normal 78 4" xfId="2252" xr:uid="{00000000-0005-0000-0000-000003080000}"/>
    <cellStyle name="Normal 79" xfId="272" xr:uid="{00000000-0005-0000-0000-000004080000}"/>
    <cellStyle name="Normal 79 2" xfId="621" xr:uid="{00000000-0005-0000-0000-000005080000}"/>
    <cellStyle name="Normal 79 2 2" xfId="830" xr:uid="{00000000-0005-0000-0000-000006080000}"/>
    <cellStyle name="Normal 79 2 3" xfId="887" xr:uid="{00000000-0005-0000-0000-000007080000}"/>
    <cellStyle name="Normal 79 2 3 2" xfId="1958" xr:uid="{00000000-0005-0000-0000-000008080000}"/>
    <cellStyle name="Normal 79 2 3 3" xfId="2249" xr:uid="{00000000-0005-0000-0000-000009080000}"/>
    <cellStyle name="Normal 79 3" xfId="1957" xr:uid="{00000000-0005-0000-0000-00000A080000}"/>
    <cellStyle name="Normal 79 4" xfId="2250" xr:uid="{00000000-0005-0000-0000-00000B080000}"/>
    <cellStyle name="Normal 8" xfId="132" xr:uid="{00000000-0005-0000-0000-00000C080000}"/>
    <cellStyle name="Normal 8 2" xfId="188" xr:uid="{00000000-0005-0000-0000-00000D080000}"/>
    <cellStyle name="Normal 8 2 2" xfId="552" xr:uid="{00000000-0005-0000-0000-00000E080000}"/>
    <cellStyle name="Normal 8 2 3" xfId="457" xr:uid="{00000000-0005-0000-0000-00000F080000}"/>
    <cellStyle name="Normal 8 2 3 2" xfId="1959" xr:uid="{00000000-0005-0000-0000-000010080000}"/>
    <cellStyle name="Normal 8 2 3 3" xfId="2248" xr:uid="{00000000-0005-0000-0000-000011080000}"/>
    <cellStyle name="Normal 8 3" xfId="458" xr:uid="{00000000-0005-0000-0000-000012080000}"/>
    <cellStyle name="Normal 8 3 2" xfId="1960" xr:uid="{00000000-0005-0000-0000-000013080000}"/>
    <cellStyle name="Normal 8 3 3" xfId="2247" xr:uid="{00000000-0005-0000-0000-000014080000}"/>
    <cellStyle name="Normal 8 4" xfId="459" xr:uid="{00000000-0005-0000-0000-000015080000}"/>
    <cellStyle name="Normal 8 4 2" xfId="1961" xr:uid="{00000000-0005-0000-0000-000016080000}"/>
    <cellStyle name="Normal 8 4 3" xfId="2246" xr:uid="{00000000-0005-0000-0000-000017080000}"/>
    <cellStyle name="Normal 8 5" xfId="460" xr:uid="{00000000-0005-0000-0000-000018080000}"/>
    <cellStyle name="Normal 8 5 2" xfId="461" xr:uid="{00000000-0005-0000-0000-000019080000}"/>
    <cellStyle name="Normal 8 5 2 2" xfId="1963" xr:uid="{00000000-0005-0000-0000-00001A080000}"/>
    <cellStyle name="Normal 8 5 2 3" xfId="2244" xr:uid="{00000000-0005-0000-0000-00001B080000}"/>
    <cellStyle name="Normal 8 5 3" xfId="462" xr:uid="{00000000-0005-0000-0000-00001C080000}"/>
    <cellStyle name="Normal 8 5 3 2" xfId="1964" xr:uid="{00000000-0005-0000-0000-00001D080000}"/>
    <cellStyle name="Normal 8 5 3 3" xfId="2243" xr:uid="{00000000-0005-0000-0000-00001E080000}"/>
    <cellStyle name="Normal 8 5 4" xfId="1962" xr:uid="{00000000-0005-0000-0000-00001F080000}"/>
    <cellStyle name="Normal 8 5 5" xfId="2245" xr:uid="{00000000-0005-0000-0000-000020080000}"/>
    <cellStyle name="Normal 8 6" xfId="463" xr:uid="{00000000-0005-0000-0000-000021080000}"/>
    <cellStyle name="Normal 8 6 2" xfId="464" xr:uid="{00000000-0005-0000-0000-000022080000}"/>
    <cellStyle name="Normal 8 6 2 2" xfId="465" xr:uid="{00000000-0005-0000-0000-000023080000}"/>
    <cellStyle name="Normal 8 6 2 2 2" xfId="1967" xr:uid="{00000000-0005-0000-0000-000024080000}"/>
    <cellStyle name="Normal 8 6 2 2 3" xfId="2240" xr:uid="{00000000-0005-0000-0000-000025080000}"/>
    <cellStyle name="Normal 8 6 2 3" xfId="1966" xr:uid="{00000000-0005-0000-0000-000026080000}"/>
    <cellStyle name="Normal 8 6 2 4" xfId="2241" xr:uid="{00000000-0005-0000-0000-000027080000}"/>
    <cellStyle name="Normal 8 6 3" xfId="1965" xr:uid="{00000000-0005-0000-0000-000028080000}"/>
    <cellStyle name="Normal 8 6 4" xfId="2242" xr:uid="{00000000-0005-0000-0000-000029080000}"/>
    <cellStyle name="Normal 8 7" xfId="466" xr:uid="{00000000-0005-0000-0000-00002A080000}"/>
    <cellStyle name="Normal 8 7 2" xfId="467" xr:uid="{00000000-0005-0000-0000-00002B080000}"/>
    <cellStyle name="Normal 8 7 2 2" xfId="468" xr:uid="{00000000-0005-0000-0000-00002C080000}"/>
    <cellStyle name="Normal 8 7 2 2 2" xfId="1970" xr:uid="{00000000-0005-0000-0000-00002D080000}"/>
    <cellStyle name="Normal 8 7 2 2 3" xfId="2237" xr:uid="{00000000-0005-0000-0000-00002E080000}"/>
    <cellStyle name="Normal 8 7 2 3" xfId="1969" xr:uid="{00000000-0005-0000-0000-00002F080000}"/>
    <cellStyle name="Normal 8 7 2 4" xfId="2238" xr:uid="{00000000-0005-0000-0000-000030080000}"/>
    <cellStyle name="Normal 8 7 3" xfId="1968" xr:uid="{00000000-0005-0000-0000-000031080000}"/>
    <cellStyle name="Normal 8 7 4" xfId="2239" xr:uid="{00000000-0005-0000-0000-000032080000}"/>
    <cellStyle name="Normal 8 8" xfId="469" xr:uid="{00000000-0005-0000-0000-000033080000}"/>
    <cellStyle name="Normal 8 8 2" xfId="1971" xr:uid="{00000000-0005-0000-0000-000034080000}"/>
    <cellStyle name="Normal 8 8 3" xfId="2236" xr:uid="{00000000-0005-0000-0000-000035080000}"/>
    <cellStyle name="Normal 8 9" xfId="2529" xr:uid="{00000000-0005-0000-0000-000036080000}"/>
    <cellStyle name="Normal 80" xfId="266" xr:uid="{00000000-0005-0000-0000-000037080000}"/>
    <cellStyle name="Normal 80 2" xfId="623" xr:uid="{00000000-0005-0000-0000-000038080000}"/>
    <cellStyle name="Normal 80 2 2" xfId="831" xr:uid="{00000000-0005-0000-0000-000039080000}"/>
    <cellStyle name="Normal 80 2 3" xfId="889" xr:uid="{00000000-0005-0000-0000-00003A080000}"/>
    <cellStyle name="Normal 80 2 3 2" xfId="1973" xr:uid="{00000000-0005-0000-0000-00003B080000}"/>
    <cellStyle name="Normal 80 2 3 3" xfId="2234" xr:uid="{00000000-0005-0000-0000-00003C080000}"/>
    <cellStyle name="Normal 80 3" xfId="1972" xr:uid="{00000000-0005-0000-0000-00003D080000}"/>
    <cellStyle name="Normal 80 4" xfId="2235" xr:uid="{00000000-0005-0000-0000-00003E080000}"/>
    <cellStyle name="Normal 81" xfId="273" xr:uid="{00000000-0005-0000-0000-00003F080000}"/>
    <cellStyle name="Normal 81 2" xfId="624" xr:uid="{00000000-0005-0000-0000-000040080000}"/>
    <cellStyle name="Normal 81 2 2" xfId="832" xr:uid="{00000000-0005-0000-0000-000041080000}"/>
    <cellStyle name="Normal 81 2 3" xfId="890" xr:uid="{00000000-0005-0000-0000-000042080000}"/>
    <cellStyle name="Normal 81 2 3 2" xfId="1975" xr:uid="{00000000-0005-0000-0000-000043080000}"/>
    <cellStyle name="Normal 81 2 3 3" xfId="2232" xr:uid="{00000000-0005-0000-0000-000044080000}"/>
    <cellStyle name="Normal 81 3" xfId="1974" xr:uid="{00000000-0005-0000-0000-000045080000}"/>
    <cellStyle name="Normal 81 4" xfId="2233" xr:uid="{00000000-0005-0000-0000-000046080000}"/>
    <cellStyle name="Normal 82" xfId="274" xr:uid="{00000000-0005-0000-0000-000047080000}"/>
    <cellStyle name="Normal 82 2" xfId="625" xr:uid="{00000000-0005-0000-0000-000048080000}"/>
    <cellStyle name="Normal 82 2 2" xfId="833" xr:uid="{00000000-0005-0000-0000-000049080000}"/>
    <cellStyle name="Normal 82 2 3" xfId="891" xr:uid="{00000000-0005-0000-0000-00004A080000}"/>
    <cellStyle name="Normal 82 2 3 2" xfId="1977" xr:uid="{00000000-0005-0000-0000-00004B080000}"/>
    <cellStyle name="Normal 82 2 3 3" xfId="2230" xr:uid="{00000000-0005-0000-0000-00004C080000}"/>
    <cellStyle name="Normal 82 3" xfId="1976" xr:uid="{00000000-0005-0000-0000-00004D080000}"/>
    <cellStyle name="Normal 82 4" xfId="2231" xr:uid="{00000000-0005-0000-0000-00004E080000}"/>
    <cellStyle name="Normal 83" xfId="275" xr:uid="{00000000-0005-0000-0000-00004F080000}"/>
    <cellStyle name="Normal 83 2" xfId="626" xr:uid="{00000000-0005-0000-0000-000050080000}"/>
    <cellStyle name="Normal 83 2 2" xfId="1978" xr:uid="{00000000-0005-0000-0000-000051080000}"/>
    <cellStyle name="Normal 83 2 3" xfId="2229" xr:uid="{00000000-0005-0000-0000-000052080000}"/>
    <cellStyle name="Normal 84" xfId="276" xr:uid="{00000000-0005-0000-0000-000053080000}"/>
    <cellStyle name="Normal 84 2" xfId="627" xr:uid="{00000000-0005-0000-0000-000054080000}"/>
    <cellStyle name="Normal 84 2 2" xfId="1979" xr:uid="{00000000-0005-0000-0000-000055080000}"/>
    <cellStyle name="Normal 84 2 3" xfId="2228" xr:uid="{00000000-0005-0000-0000-000056080000}"/>
    <cellStyle name="Normal 85" xfId="277" xr:uid="{00000000-0005-0000-0000-000057080000}"/>
    <cellStyle name="Normal 85 2" xfId="628" xr:uid="{00000000-0005-0000-0000-000058080000}"/>
    <cellStyle name="Normal 85 2 2" xfId="1980" xr:uid="{00000000-0005-0000-0000-000059080000}"/>
    <cellStyle name="Normal 85 2 3" xfId="2227" xr:uid="{00000000-0005-0000-0000-00005A080000}"/>
    <cellStyle name="Normal 86" xfId="278" xr:uid="{00000000-0005-0000-0000-00005B080000}"/>
    <cellStyle name="Normal 86 2" xfId="629" xr:uid="{00000000-0005-0000-0000-00005C080000}"/>
    <cellStyle name="Normal 86 2 2" xfId="1981" xr:uid="{00000000-0005-0000-0000-00005D080000}"/>
    <cellStyle name="Normal 86 2 3" xfId="2226" xr:uid="{00000000-0005-0000-0000-00005E080000}"/>
    <cellStyle name="Normal 87" xfId="279" xr:uid="{00000000-0005-0000-0000-00005F080000}"/>
    <cellStyle name="Normal 87 2" xfId="630" xr:uid="{00000000-0005-0000-0000-000060080000}"/>
    <cellStyle name="Normal 87 2 2" xfId="1982" xr:uid="{00000000-0005-0000-0000-000061080000}"/>
    <cellStyle name="Normal 87 2 3" xfId="2225" xr:uid="{00000000-0005-0000-0000-000062080000}"/>
    <cellStyle name="Normal 88" xfId="280" xr:uid="{00000000-0005-0000-0000-000063080000}"/>
    <cellStyle name="Normal 88 2" xfId="631" xr:uid="{00000000-0005-0000-0000-000064080000}"/>
    <cellStyle name="Normal 88 2 2" xfId="1983" xr:uid="{00000000-0005-0000-0000-000065080000}"/>
    <cellStyle name="Normal 88 2 3" xfId="2224" xr:uid="{00000000-0005-0000-0000-000066080000}"/>
    <cellStyle name="Normal 89" xfId="281" xr:uid="{00000000-0005-0000-0000-000067080000}"/>
    <cellStyle name="Normal 89 2" xfId="632" xr:uid="{00000000-0005-0000-0000-000068080000}"/>
    <cellStyle name="Normal 89 2 2" xfId="1984" xr:uid="{00000000-0005-0000-0000-000069080000}"/>
    <cellStyle name="Normal 89 2 3" xfId="2223" xr:uid="{00000000-0005-0000-0000-00006A080000}"/>
    <cellStyle name="Normal 9" xfId="133" xr:uid="{00000000-0005-0000-0000-00006B080000}"/>
    <cellStyle name="Normal 9 2" xfId="470" xr:uid="{00000000-0005-0000-0000-00006C080000}"/>
    <cellStyle name="Normal 9 2 2" xfId="1986" xr:uid="{00000000-0005-0000-0000-00006D080000}"/>
    <cellStyle name="Normal 9 2 3" xfId="2221" xr:uid="{00000000-0005-0000-0000-00006E080000}"/>
    <cellStyle name="Normal 9 3" xfId="471" xr:uid="{00000000-0005-0000-0000-00006F080000}"/>
    <cellStyle name="Normal 9 3 2" xfId="1987" xr:uid="{00000000-0005-0000-0000-000070080000}"/>
    <cellStyle name="Normal 9 3 3" xfId="2220" xr:uid="{00000000-0005-0000-0000-000071080000}"/>
    <cellStyle name="Normal 9 4" xfId="472" xr:uid="{00000000-0005-0000-0000-000072080000}"/>
    <cellStyle name="Normal 9 4 2" xfId="473" xr:uid="{00000000-0005-0000-0000-000073080000}"/>
    <cellStyle name="Normal 9 4 2 2" xfId="474" xr:uid="{00000000-0005-0000-0000-000074080000}"/>
    <cellStyle name="Normal 9 4 2 2 2" xfId="1990" xr:uid="{00000000-0005-0000-0000-000075080000}"/>
    <cellStyle name="Normal 9 4 2 2 3" xfId="2217" xr:uid="{00000000-0005-0000-0000-000076080000}"/>
    <cellStyle name="Normal 9 4 2 3" xfId="1989" xr:uid="{00000000-0005-0000-0000-000077080000}"/>
    <cellStyle name="Normal 9 4 2 4" xfId="2218" xr:uid="{00000000-0005-0000-0000-000078080000}"/>
    <cellStyle name="Normal 9 4 3" xfId="1988" xr:uid="{00000000-0005-0000-0000-000079080000}"/>
    <cellStyle name="Normal 9 4 4" xfId="2219" xr:uid="{00000000-0005-0000-0000-00007A080000}"/>
    <cellStyle name="Normal 9 5" xfId="475" xr:uid="{00000000-0005-0000-0000-00007B080000}"/>
    <cellStyle name="Normal 9 5 2" xfId="1991" xr:uid="{00000000-0005-0000-0000-00007C080000}"/>
    <cellStyle name="Normal 9 5 3" xfId="2216" xr:uid="{00000000-0005-0000-0000-00007D080000}"/>
    <cellStyle name="Normal 9 6" xfId="1985" xr:uid="{00000000-0005-0000-0000-00007E080000}"/>
    <cellStyle name="Normal 9 7" xfId="2652" xr:uid="{00000000-0005-0000-0000-00007F080000}"/>
    <cellStyle name="Normal 9 7 2" xfId="2222" xr:uid="{00000000-0005-0000-0000-000080080000}"/>
    <cellStyle name="Normal 90" xfId="633" xr:uid="{00000000-0005-0000-0000-000081080000}"/>
    <cellStyle name="Normal 90 2" xfId="634" xr:uid="{00000000-0005-0000-0000-000082080000}"/>
    <cellStyle name="Normal 90 2 2" xfId="1992" xr:uid="{00000000-0005-0000-0000-000083080000}"/>
    <cellStyle name="Normal 90 2 3" xfId="2215" xr:uid="{00000000-0005-0000-0000-000084080000}"/>
    <cellStyle name="Normal 90 3" xfId="969" xr:uid="{00000000-0005-0000-0000-000085080000}"/>
    <cellStyle name="Normal 91" xfId="635" xr:uid="{00000000-0005-0000-0000-000086080000}"/>
    <cellStyle name="Normal 91 2" xfId="636" xr:uid="{00000000-0005-0000-0000-000087080000}"/>
    <cellStyle name="Normal 91 2 2" xfId="1993" xr:uid="{00000000-0005-0000-0000-000088080000}"/>
    <cellStyle name="Normal 91 2 3" xfId="2214" xr:uid="{00000000-0005-0000-0000-000089080000}"/>
    <cellStyle name="Normal 91 3" xfId="970" xr:uid="{00000000-0005-0000-0000-00008A080000}"/>
    <cellStyle name="Normal 92" xfId="637" xr:uid="{00000000-0005-0000-0000-00008B080000}"/>
    <cellStyle name="Normal 92 2" xfId="638" xr:uid="{00000000-0005-0000-0000-00008C080000}"/>
    <cellStyle name="Normal 92 2 2" xfId="1994" xr:uid="{00000000-0005-0000-0000-00008D080000}"/>
    <cellStyle name="Normal 92 2 3" xfId="2213" xr:uid="{00000000-0005-0000-0000-00008E080000}"/>
    <cellStyle name="Normal 92 3" xfId="971" xr:uid="{00000000-0005-0000-0000-00008F080000}"/>
    <cellStyle name="Normal 93" xfId="639" xr:uid="{00000000-0005-0000-0000-000090080000}"/>
    <cellStyle name="Normal 93 2" xfId="640" xr:uid="{00000000-0005-0000-0000-000091080000}"/>
    <cellStyle name="Normal 93 2 2" xfId="840" xr:uid="{00000000-0005-0000-0000-000092080000}"/>
    <cellStyle name="Normal 93 2 3" xfId="892" xr:uid="{00000000-0005-0000-0000-000093080000}"/>
    <cellStyle name="Normal 93 2 3 2" xfId="1995" xr:uid="{00000000-0005-0000-0000-000094080000}"/>
    <cellStyle name="Normal 93 2 3 3" xfId="2212" xr:uid="{00000000-0005-0000-0000-000095080000}"/>
    <cellStyle name="Normal 93 3" xfId="972" xr:uid="{00000000-0005-0000-0000-000096080000}"/>
    <cellStyle name="Normal 93 4" xfId="1059" xr:uid="{00000000-0005-0000-0000-000097080000}"/>
    <cellStyle name="Normal 94" xfId="641" xr:uid="{00000000-0005-0000-0000-000098080000}"/>
    <cellStyle name="Normal 94 2" xfId="642" xr:uid="{00000000-0005-0000-0000-000099080000}"/>
    <cellStyle name="Normal 94 2 2" xfId="841" xr:uid="{00000000-0005-0000-0000-00009A080000}"/>
    <cellStyle name="Normal 94 2 3" xfId="893" xr:uid="{00000000-0005-0000-0000-00009B080000}"/>
    <cellStyle name="Normal 94 2 3 2" xfId="1996" xr:uid="{00000000-0005-0000-0000-00009C080000}"/>
    <cellStyle name="Normal 94 2 3 3" xfId="2211" xr:uid="{00000000-0005-0000-0000-00009D080000}"/>
    <cellStyle name="Normal 94 3" xfId="973" xr:uid="{00000000-0005-0000-0000-00009E080000}"/>
    <cellStyle name="Normal 94 4" xfId="1060" xr:uid="{00000000-0005-0000-0000-00009F080000}"/>
    <cellStyle name="Normal 95" xfId="643" xr:uid="{00000000-0005-0000-0000-0000A0080000}"/>
    <cellStyle name="Normal 95 2" xfId="644" xr:uid="{00000000-0005-0000-0000-0000A1080000}"/>
    <cellStyle name="Normal 95 2 2" xfId="842" xr:uid="{00000000-0005-0000-0000-0000A2080000}"/>
    <cellStyle name="Normal 95 2 3" xfId="895" xr:uid="{00000000-0005-0000-0000-0000A3080000}"/>
    <cellStyle name="Normal 95 2 3 2" xfId="1998" xr:uid="{00000000-0005-0000-0000-0000A4080000}"/>
    <cellStyle name="Normal 95 2 3 3" xfId="2209" xr:uid="{00000000-0005-0000-0000-0000A5080000}"/>
    <cellStyle name="Normal 95 3" xfId="894" xr:uid="{00000000-0005-0000-0000-0000A6080000}"/>
    <cellStyle name="Normal 95 4" xfId="974" xr:uid="{00000000-0005-0000-0000-0000A7080000}"/>
    <cellStyle name="Normal 95 5" xfId="1061" xr:uid="{00000000-0005-0000-0000-0000A8080000}"/>
    <cellStyle name="Normal 95 6" xfId="1997" xr:uid="{00000000-0005-0000-0000-0000A9080000}"/>
    <cellStyle name="Normal 95 7" xfId="2210" xr:uid="{00000000-0005-0000-0000-0000AA080000}"/>
    <cellStyle name="Normal 96" xfId="645" xr:uid="{00000000-0005-0000-0000-0000AB080000}"/>
    <cellStyle name="Normal 96 2" xfId="646" xr:uid="{00000000-0005-0000-0000-0000AC080000}"/>
    <cellStyle name="Normal 96 2 2" xfId="1420" xr:uid="{00000000-0005-0000-0000-0000AD080000}"/>
    <cellStyle name="Normal 96 2 3" xfId="2000" xr:uid="{00000000-0005-0000-0000-0000AE080000}"/>
    <cellStyle name="Normal 96 2 4" xfId="2207" xr:uid="{00000000-0005-0000-0000-0000AF080000}"/>
    <cellStyle name="Normal 96 3" xfId="896" xr:uid="{00000000-0005-0000-0000-0000B0080000}"/>
    <cellStyle name="Normal 96 4" xfId="975" xr:uid="{00000000-0005-0000-0000-0000B1080000}"/>
    <cellStyle name="Normal 96 5" xfId="1062" xr:uid="{00000000-0005-0000-0000-0000B2080000}"/>
    <cellStyle name="Normal 96 6" xfId="1999" xr:uid="{00000000-0005-0000-0000-0000B3080000}"/>
    <cellStyle name="Normal 96 7" xfId="2208" xr:uid="{00000000-0005-0000-0000-0000B4080000}"/>
    <cellStyle name="Normal 97" xfId="647" xr:uid="{00000000-0005-0000-0000-0000B5080000}"/>
    <cellStyle name="Normal 97 2" xfId="2001" xr:uid="{00000000-0005-0000-0000-0000B6080000}"/>
    <cellStyle name="Normal 97 3" xfId="2528" xr:uid="{00000000-0005-0000-0000-0000B7080000}"/>
    <cellStyle name="Normal 97 3 2" xfId="2206" xr:uid="{00000000-0005-0000-0000-0000B8080000}"/>
    <cellStyle name="Normal 98" xfId="648" xr:uid="{00000000-0005-0000-0000-0000B9080000}"/>
    <cellStyle name="Normal 98 2" xfId="2002" xr:uid="{00000000-0005-0000-0000-0000BA080000}"/>
    <cellStyle name="Normal 98 3" xfId="2527" xr:uid="{00000000-0005-0000-0000-0000BB080000}"/>
    <cellStyle name="Normal 98 3 2" xfId="2205" xr:uid="{00000000-0005-0000-0000-0000BC080000}"/>
    <cellStyle name="Normal 99" xfId="649" xr:uid="{00000000-0005-0000-0000-0000BD080000}"/>
    <cellStyle name="Normal 99 2" xfId="2003" xr:uid="{00000000-0005-0000-0000-0000BE080000}"/>
    <cellStyle name="Normal 99 3" xfId="2526" xr:uid="{00000000-0005-0000-0000-0000BF080000}"/>
    <cellStyle name="Normal 99 3 2" xfId="2204" xr:uid="{00000000-0005-0000-0000-0000C0080000}"/>
    <cellStyle name="Note 2" xfId="134" xr:uid="{00000000-0005-0000-0000-0000C1080000}"/>
    <cellStyle name="Note 2 2" xfId="835" xr:uid="{00000000-0005-0000-0000-0000C2080000}"/>
    <cellStyle name="Note 2 3" xfId="834" xr:uid="{00000000-0005-0000-0000-0000C3080000}"/>
    <cellStyle name="Note 2 3 2" xfId="1425" xr:uid="{00000000-0005-0000-0000-0000C4080000}"/>
    <cellStyle name="Note 2 3 2 2" xfId="2758" xr:uid="{00000000-0005-0000-0000-0000C5080000}"/>
    <cellStyle name="Note 2 3 3" xfId="2005" xr:uid="{00000000-0005-0000-0000-0000C6080000}"/>
    <cellStyle name="Note 2 3 4" xfId="1424" xr:uid="{00000000-0005-0000-0000-0000C7080000}"/>
    <cellStyle name="Note 2 3 5" xfId="2944" xr:uid="{00000000-0005-0000-0000-0000C8080000}"/>
    <cellStyle name="Note 2 4" xfId="2004" xr:uid="{00000000-0005-0000-0000-0000C9080000}"/>
    <cellStyle name="Note 2 5" xfId="1422" xr:uid="{00000000-0005-0000-0000-0000CA080000}"/>
    <cellStyle name="Note 3" xfId="135" xr:uid="{00000000-0005-0000-0000-0000CB080000}"/>
    <cellStyle name="Note 4" xfId="136" xr:uid="{00000000-0005-0000-0000-0000CC080000}"/>
    <cellStyle name="Note 5" xfId="137" xr:uid="{00000000-0005-0000-0000-0000CD080000}"/>
    <cellStyle name="Output" xfId="570" builtinId="21" customBuiltin="1"/>
    <cellStyle name="Output 2" xfId="476" xr:uid="{00000000-0005-0000-0000-0000CF080000}"/>
    <cellStyle name="Percent" xfId="213" builtinId="5"/>
    <cellStyle name="Percent [2]" xfId="138" xr:uid="{00000000-0005-0000-0000-0000D1080000}"/>
    <cellStyle name="Percent [2] 2" xfId="139" xr:uid="{00000000-0005-0000-0000-0000D2080000}"/>
    <cellStyle name="Percent [2] 3" xfId="140" xr:uid="{00000000-0005-0000-0000-0000D3080000}"/>
    <cellStyle name="Percent [2] 4" xfId="141" xr:uid="{00000000-0005-0000-0000-0000D4080000}"/>
    <cellStyle name="Percent [2] 5" xfId="142" xr:uid="{00000000-0005-0000-0000-0000D5080000}"/>
    <cellStyle name="Percent 10" xfId="244" xr:uid="{00000000-0005-0000-0000-0000D6080000}"/>
    <cellStyle name="Percent 10 2" xfId="650" xr:uid="{00000000-0005-0000-0000-0000D7080000}"/>
    <cellStyle name="Percent 10 2 2" xfId="673" xr:uid="{00000000-0005-0000-0000-0000D8080000}"/>
    <cellStyle name="Percent 10 2 3" xfId="897" xr:uid="{00000000-0005-0000-0000-0000D9080000}"/>
    <cellStyle name="Percent 10 2 3 2" xfId="1428" xr:uid="{00000000-0005-0000-0000-0000DA080000}"/>
    <cellStyle name="Percent 10 2 3 2 2" xfId="2760" xr:uid="{00000000-0005-0000-0000-0000DB080000}"/>
    <cellStyle name="Percent 10 2 3 3" xfId="2007" xr:uid="{00000000-0005-0000-0000-0000DC080000}"/>
    <cellStyle name="Percent 10 2 3 4" xfId="1427" xr:uid="{00000000-0005-0000-0000-0000DD080000}"/>
    <cellStyle name="Percent 10 2 3 5" xfId="2947" xr:uid="{00000000-0005-0000-0000-0000DE080000}"/>
    <cellStyle name="Percent 10 2 4" xfId="977" xr:uid="{00000000-0005-0000-0000-0000DF080000}"/>
    <cellStyle name="Percent 10 2 4 2" xfId="1430" xr:uid="{00000000-0005-0000-0000-0000E0080000}"/>
    <cellStyle name="Percent 10 2 4 2 2" xfId="2761" xr:uid="{00000000-0005-0000-0000-0000E1080000}"/>
    <cellStyle name="Percent 10 2 4 3" xfId="2008" xr:uid="{00000000-0005-0000-0000-0000E2080000}"/>
    <cellStyle name="Percent 10 2 4 4" xfId="1429" xr:uid="{00000000-0005-0000-0000-0000E3080000}"/>
    <cellStyle name="Percent 10 2 4 5" xfId="2948" xr:uid="{00000000-0005-0000-0000-0000E4080000}"/>
    <cellStyle name="Percent 10 2 5" xfId="1431" xr:uid="{00000000-0005-0000-0000-0000E5080000}"/>
    <cellStyle name="Percent 10 2 5 2" xfId="2762" xr:uid="{00000000-0005-0000-0000-0000E6080000}"/>
    <cellStyle name="Percent 10 3" xfId="843" xr:uid="{00000000-0005-0000-0000-0000E7080000}"/>
    <cellStyle name="Percent 10 3 2" xfId="1433" xr:uid="{00000000-0005-0000-0000-0000E8080000}"/>
    <cellStyle name="Percent 10 3 2 2" xfId="2763" xr:uid="{00000000-0005-0000-0000-0000E9080000}"/>
    <cellStyle name="Percent 10 3 3" xfId="2009" xr:uid="{00000000-0005-0000-0000-0000EA080000}"/>
    <cellStyle name="Percent 10 3 4" xfId="1432" xr:uid="{00000000-0005-0000-0000-0000EB080000}"/>
    <cellStyle name="Percent 10 3 5" xfId="2949" xr:uid="{00000000-0005-0000-0000-0000EC080000}"/>
    <cellStyle name="Percent 10 4" xfId="2946" xr:uid="{00000000-0005-0000-0000-0000ED080000}"/>
    <cellStyle name="Percent 100" xfId="1434" xr:uid="{00000000-0005-0000-0000-0000EE080000}"/>
    <cellStyle name="Percent 101" xfId="1435" xr:uid="{00000000-0005-0000-0000-0000EF080000}"/>
    <cellStyle name="Percent 102" xfId="1436" xr:uid="{00000000-0005-0000-0000-0000F0080000}"/>
    <cellStyle name="Percent 103" xfId="1437" xr:uid="{00000000-0005-0000-0000-0000F1080000}"/>
    <cellStyle name="Percent 104" xfId="1438" xr:uid="{00000000-0005-0000-0000-0000F2080000}"/>
    <cellStyle name="Percent 105" xfId="1439" xr:uid="{00000000-0005-0000-0000-0000F3080000}"/>
    <cellStyle name="Percent 106" xfId="1440" xr:uid="{00000000-0005-0000-0000-0000F4080000}"/>
    <cellStyle name="Percent 107" xfId="1441" xr:uid="{00000000-0005-0000-0000-0000F5080000}"/>
    <cellStyle name="Percent 108" xfId="1442" xr:uid="{00000000-0005-0000-0000-0000F6080000}"/>
    <cellStyle name="Percent 108 2" xfId="2764" xr:uid="{00000000-0005-0000-0000-0000F7080000}"/>
    <cellStyle name="Percent 109" xfId="1443" xr:uid="{00000000-0005-0000-0000-0000F8080000}"/>
    <cellStyle name="Percent 109 2" xfId="2765" xr:uid="{00000000-0005-0000-0000-0000F9080000}"/>
    <cellStyle name="Percent 11" xfId="241" xr:uid="{00000000-0005-0000-0000-0000FA080000}"/>
    <cellStyle name="Percent 11 2" xfId="651" xr:uid="{00000000-0005-0000-0000-0000FB080000}"/>
    <cellStyle name="Percent 11 2 2" xfId="674" xr:uid="{00000000-0005-0000-0000-0000FC080000}"/>
    <cellStyle name="Percent 11 2 3" xfId="898" xr:uid="{00000000-0005-0000-0000-0000FD080000}"/>
    <cellStyle name="Percent 11 2 3 2" xfId="1445" xr:uid="{00000000-0005-0000-0000-0000FE080000}"/>
    <cellStyle name="Percent 11 2 3 2 2" xfId="2766" xr:uid="{00000000-0005-0000-0000-0000FF080000}"/>
    <cellStyle name="Percent 11 2 3 3" xfId="2010" xr:uid="{00000000-0005-0000-0000-000000090000}"/>
    <cellStyle name="Percent 11 2 3 4" xfId="1444" xr:uid="{00000000-0005-0000-0000-000001090000}"/>
    <cellStyle name="Percent 11 2 3 5" xfId="2951" xr:uid="{00000000-0005-0000-0000-000002090000}"/>
    <cellStyle name="Percent 11 2 4" xfId="978" xr:uid="{00000000-0005-0000-0000-000003090000}"/>
    <cellStyle name="Percent 11 2 4 2" xfId="1447" xr:uid="{00000000-0005-0000-0000-000004090000}"/>
    <cellStyle name="Percent 11 2 4 2 2" xfId="2767" xr:uid="{00000000-0005-0000-0000-000005090000}"/>
    <cellStyle name="Percent 11 2 4 3" xfId="2011" xr:uid="{00000000-0005-0000-0000-000006090000}"/>
    <cellStyle name="Percent 11 2 4 4" xfId="1446" xr:uid="{00000000-0005-0000-0000-000007090000}"/>
    <cellStyle name="Percent 11 2 4 5" xfId="2952" xr:uid="{00000000-0005-0000-0000-000008090000}"/>
    <cellStyle name="Percent 11 2 5" xfId="1448" xr:uid="{00000000-0005-0000-0000-000009090000}"/>
    <cellStyle name="Percent 11 2 5 2" xfId="2768" xr:uid="{00000000-0005-0000-0000-00000A090000}"/>
    <cellStyle name="Percent 11 3" xfId="844" xr:uid="{00000000-0005-0000-0000-00000B090000}"/>
    <cellStyle name="Percent 11 3 2" xfId="1450" xr:uid="{00000000-0005-0000-0000-00000C090000}"/>
    <cellStyle name="Percent 11 3 2 2" xfId="2769" xr:uid="{00000000-0005-0000-0000-00000D090000}"/>
    <cellStyle name="Percent 11 3 3" xfId="2012" xr:uid="{00000000-0005-0000-0000-00000E090000}"/>
    <cellStyle name="Percent 11 3 4" xfId="1449" xr:uid="{00000000-0005-0000-0000-00000F090000}"/>
    <cellStyle name="Percent 11 3 5" xfId="2953" xr:uid="{00000000-0005-0000-0000-000010090000}"/>
    <cellStyle name="Percent 11 4" xfId="2950" xr:uid="{00000000-0005-0000-0000-000011090000}"/>
    <cellStyle name="Percent 110" xfId="1451" xr:uid="{00000000-0005-0000-0000-000012090000}"/>
    <cellStyle name="Percent 110 2" xfId="2770" xr:uid="{00000000-0005-0000-0000-000013090000}"/>
    <cellStyle name="Percent 111" xfId="1452" xr:uid="{00000000-0005-0000-0000-000014090000}"/>
    <cellStyle name="Percent 111 2" xfId="2771" xr:uid="{00000000-0005-0000-0000-000015090000}"/>
    <cellStyle name="Percent 112" xfId="2006" xr:uid="{00000000-0005-0000-0000-000016090000}"/>
    <cellStyle name="Percent 113" xfId="1609" xr:uid="{00000000-0005-0000-0000-000017090000}"/>
    <cellStyle name="Percent 113 2" xfId="2772" xr:uid="{00000000-0005-0000-0000-000018090000}"/>
    <cellStyle name="Percent 114" xfId="1426" xr:uid="{00000000-0005-0000-0000-000019090000}"/>
    <cellStyle name="Percent 114 2" xfId="2082" xr:uid="{00000000-0005-0000-0000-00001A090000}"/>
    <cellStyle name="Percent 114 2 2" xfId="2773" xr:uid="{00000000-0005-0000-0000-00001B090000}"/>
    <cellStyle name="Percent 114 3" xfId="2655" xr:uid="{00000000-0005-0000-0000-00001C090000}"/>
    <cellStyle name="Percent 115" xfId="2075" xr:uid="{00000000-0005-0000-0000-00001D090000}"/>
    <cellStyle name="Percent 115 2" xfId="2076" xr:uid="{00000000-0005-0000-0000-00001E090000}"/>
    <cellStyle name="Percent 115 2 2" xfId="2774" xr:uid="{00000000-0005-0000-0000-00001F090000}"/>
    <cellStyle name="Percent 115 3" xfId="2670" xr:uid="{00000000-0005-0000-0000-000020090000}"/>
    <cellStyle name="Percent 116" xfId="1369" xr:uid="{00000000-0005-0000-0000-000021090000}"/>
    <cellStyle name="Percent 116 2" xfId="1234" xr:uid="{00000000-0005-0000-0000-000022090000}"/>
    <cellStyle name="Percent 116 2 2" xfId="2775" xr:uid="{00000000-0005-0000-0000-000023090000}"/>
    <cellStyle name="Percent 116 3" xfId="2651" xr:uid="{00000000-0005-0000-0000-000024090000}"/>
    <cellStyle name="Percent 117" xfId="1237" xr:uid="{00000000-0005-0000-0000-000025090000}"/>
    <cellStyle name="Percent 117 2" xfId="2157" xr:uid="{00000000-0005-0000-0000-000026090000}"/>
    <cellStyle name="Percent 117 2 2" xfId="2776" xr:uid="{00000000-0005-0000-0000-000027090000}"/>
    <cellStyle name="Percent 117 3" xfId="2619" xr:uid="{00000000-0005-0000-0000-000028090000}"/>
    <cellStyle name="Percent 118" xfId="2086" xr:uid="{00000000-0005-0000-0000-000029090000}"/>
    <cellStyle name="Percent 118 2" xfId="2158" xr:uid="{00000000-0005-0000-0000-00002A090000}"/>
    <cellStyle name="Percent 118 2 2" xfId="2777" xr:uid="{00000000-0005-0000-0000-00002B090000}"/>
    <cellStyle name="Percent 118 3" xfId="2671" xr:uid="{00000000-0005-0000-0000-00002C090000}"/>
    <cellStyle name="Percent 119" xfId="1418" xr:uid="{00000000-0005-0000-0000-00002D090000}"/>
    <cellStyle name="Percent 119 2" xfId="2654" xr:uid="{00000000-0005-0000-0000-00002E090000}"/>
    <cellStyle name="Percent 119 3" xfId="2543" xr:uid="{00000000-0005-0000-0000-00002F090000}"/>
    <cellStyle name="Percent 12" xfId="245" xr:uid="{00000000-0005-0000-0000-000030090000}"/>
    <cellStyle name="Percent 12 2" xfId="652" xr:uid="{00000000-0005-0000-0000-000031090000}"/>
    <cellStyle name="Percent 12 2 2" xfId="1454" xr:uid="{00000000-0005-0000-0000-000032090000}"/>
    <cellStyle name="Percent 12 2 2 2" xfId="2778" xr:uid="{00000000-0005-0000-0000-000033090000}"/>
    <cellStyle name="Percent 12 2 3" xfId="2013" xr:uid="{00000000-0005-0000-0000-000034090000}"/>
    <cellStyle name="Percent 12 2 4" xfId="1453" xr:uid="{00000000-0005-0000-0000-000035090000}"/>
    <cellStyle name="Percent 12 2 5" xfId="2954" xr:uid="{00000000-0005-0000-0000-000036090000}"/>
    <cellStyle name="Percent 120" xfId="1366" xr:uid="{00000000-0005-0000-0000-000037090000}"/>
    <cellStyle name="Percent 120 2" xfId="2650" xr:uid="{00000000-0005-0000-0000-000038090000}"/>
    <cellStyle name="Percent 120 3" xfId="2544" xr:uid="{00000000-0005-0000-0000-000039090000}"/>
    <cellStyle name="Percent 121" xfId="1419" xr:uid="{00000000-0005-0000-0000-00003A090000}"/>
    <cellStyle name="Percent 122" xfId="1388" xr:uid="{00000000-0005-0000-0000-00003B090000}"/>
    <cellStyle name="Percent 123" xfId="1236" xr:uid="{00000000-0005-0000-0000-00003C090000}"/>
    <cellStyle name="Percent 124" xfId="2089" xr:uid="{00000000-0005-0000-0000-00003D090000}"/>
    <cellStyle name="Percent 125" xfId="2079" xr:uid="{00000000-0005-0000-0000-00003E090000}"/>
    <cellStyle name="Percent 126" xfId="1421" xr:uid="{00000000-0005-0000-0000-00003F090000}"/>
    <cellStyle name="Percent 127" xfId="1235" xr:uid="{00000000-0005-0000-0000-000040090000}"/>
    <cellStyle name="Percent 128" xfId="2083" xr:uid="{00000000-0005-0000-0000-000041090000}"/>
    <cellStyle name="Percent 129" xfId="2084" xr:uid="{00000000-0005-0000-0000-000042090000}"/>
    <cellStyle name="Percent 13" xfId="240" xr:uid="{00000000-0005-0000-0000-000043090000}"/>
    <cellStyle name="Percent 13 2" xfId="653" xr:uid="{00000000-0005-0000-0000-000044090000}"/>
    <cellStyle name="Percent 13 2 2" xfId="1456" xr:uid="{00000000-0005-0000-0000-000045090000}"/>
    <cellStyle name="Percent 13 2 2 2" xfId="2779" xr:uid="{00000000-0005-0000-0000-000046090000}"/>
    <cellStyle name="Percent 13 2 3" xfId="2014" xr:uid="{00000000-0005-0000-0000-000047090000}"/>
    <cellStyle name="Percent 13 2 4" xfId="1455" xr:uid="{00000000-0005-0000-0000-000048090000}"/>
    <cellStyle name="Percent 13 2 5" xfId="2955" xr:uid="{00000000-0005-0000-0000-000049090000}"/>
    <cellStyle name="Percent 130" xfId="1367" xr:uid="{00000000-0005-0000-0000-00004A090000}"/>
    <cellStyle name="Percent 131" xfId="2080" xr:uid="{00000000-0005-0000-0000-00004B090000}"/>
    <cellStyle name="Percent 132" xfId="2078" xr:uid="{00000000-0005-0000-0000-00004C090000}"/>
    <cellStyle name="Percent 133" xfId="1417" xr:uid="{00000000-0005-0000-0000-00004D090000}"/>
    <cellStyle name="Percent 134" xfId="2085" xr:uid="{00000000-0005-0000-0000-00004E090000}"/>
    <cellStyle name="Percent 135" xfId="2088" xr:uid="{00000000-0005-0000-0000-00004F090000}"/>
    <cellStyle name="Percent 136" xfId="2077" xr:uid="{00000000-0005-0000-0000-000050090000}"/>
    <cellStyle name="Percent 137" xfId="1416" xr:uid="{00000000-0005-0000-0000-000051090000}"/>
    <cellStyle name="Percent 138" xfId="1423" xr:uid="{00000000-0005-0000-0000-000052090000}"/>
    <cellStyle name="Percent 139" xfId="2087" xr:uid="{00000000-0005-0000-0000-000053090000}"/>
    <cellStyle name="Percent 14" xfId="654" xr:uid="{00000000-0005-0000-0000-000054090000}"/>
    <cellStyle name="Percent 14 2" xfId="1458" xr:uid="{00000000-0005-0000-0000-000055090000}"/>
    <cellStyle name="Percent 14 2 2" xfId="2780" xr:uid="{00000000-0005-0000-0000-000056090000}"/>
    <cellStyle name="Percent 14 3" xfId="2015" xr:uid="{00000000-0005-0000-0000-000057090000}"/>
    <cellStyle name="Percent 14 4" xfId="1457" xr:uid="{00000000-0005-0000-0000-000058090000}"/>
    <cellStyle name="Percent 14 5" xfId="2956" xr:uid="{00000000-0005-0000-0000-000059090000}"/>
    <cellStyle name="Percent 140" xfId="1389" xr:uid="{00000000-0005-0000-0000-00005A090000}"/>
    <cellStyle name="Percent 141" xfId="2145" xr:uid="{00000000-0005-0000-0000-00005B090000}"/>
    <cellStyle name="Percent 142" xfId="2142" xr:uid="{00000000-0005-0000-0000-00005C090000}"/>
    <cellStyle name="Percent 143" xfId="2143" xr:uid="{00000000-0005-0000-0000-00005D090000}"/>
    <cellStyle name="Percent 144" xfId="2141" xr:uid="{00000000-0005-0000-0000-00005E090000}"/>
    <cellStyle name="Percent 145" xfId="2144" xr:uid="{00000000-0005-0000-0000-00005F090000}"/>
    <cellStyle name="Percent 146" xfId="2140" xr:uid="{00000000-0005-0000-0000-000060090000}"/>
    <cellStyle name="Percent 147" xfId="2146" xr:uid="{00000000-0005-0000-0000-000061090000}"/>
    <cellStyle name="Percent 148" xfId="2139" xr:uid="{00000000-0005-0000-0000-000062090000}"/>
    <cellStyle name="Percent 149" xfId="2147" xr:uid="{00000000-0005-0000-0000-000063090000}"/>
    <cellStyle name="Percent 15" xfId="655" xr:uid="{00000000-0005-0000-0000-000064090000}"/>
    <cellStyle name="Percent 15 2" xfId="1460" xr:uid="{00000000-0005-0000-0000-000065090000}"/>
    <cellStyle name="Percent 15 2 2" xfId="2781" xr:uid="{00000000-0005-0000-0000-000066090000}"/>
    <cellStyle name="Percent 15 3" xfId="2016" xr:uid="{00000000-0005-0000-0000-000067090000}"/>
    <cellStyle name="Percent 15 4" xfId="1459" xr:uid="{00000000-0005-0000-0000-000068090000}"/>
    <cellStyle name="Percent 15 5" xfId="2957" xr:uid="{00000000-0005-0000-0000-000069090000}"/>
    <cellStyle name="Percent 150" xfId="2138" xr:uid="{00000000-0005-0000-0000-00006A090000}"/>
    <cellStyle name="Percent 151" xfId="2148" xr:uid="{00000000-0005-0000-0000-00006B090000}"/>
    <cellStyle name="Percent 152" xfId="2137" xr:uid="{00000000-0005-0000-0000-00006C090000}"/>
    <cellStyle name="Percent 153" xfId="2149" xr:uid="{00000000-0005-0000-0000-00006D090000}"/>
    <cellStyle name="Percent 154" xfId="2136" xr:uid="{00000000-0005-0000-0000-00006E090000}"/>
    <cellStyle name="Percent 155" xfId="2150" xr:uid="{00000000-0005-0000-0000-00006F090000}"/>
    <cellStyle name="Percent 156" xfId="2135" xr:uid="{00000000-0005-0000-0000-000070090000}"/>
    <cellStyle name="Percent 157" xfId="2151" xr:uid="{00000000-0005-0000-0000-000071090000}"/>
    <cellStyle name="Percent 158" xfId="2134" xr:uid="{00000000-0005-0000-0000-000072090000}"/>
    <cellStyle name="Percent 159" xfId="2152" xr:uid="{00000000-0005-0000-0000-000073090000}"/>
    <cellStyle name="Percent 16" xfId="656" xr:uid="{00000000-0005-0000-0000-000074090000}"/>
    <cellStyle name="Percent 16 2" xfId="1462" xr:uid="{00000000-0005-0000-0000-000075090000}"/>
    <cellStyle name="Percent 16 2 2" xfId="2782" xr:uid="{00000000-0005-0000-0000-000076090000}"/>
    <cellStyle name="Percent 16 3" xfId="2017" xr:uid="{00000000-0005-0000-0000-000077090000}"/>
    <cellStyle name="Percent 16 4" xfId="1461" xr:uid="{00000000-0005-0000-0000-000078090000}"/>
    <cellStyle name="Percent 16 5" xfId="2958" xr:uid="{00000000-0005-0000-0000-000079090000}"/>
    <cellStyle name="Percent 160" xfId="2133" xr:uid="{00000000-0005-0000-0000-00007A090000}"/>
    <cellStyle name="Percent 161" xfId="2153" xr:uid="{00000000-0005-0000-0000-00007B090000}"/>
    <cellStyle name="Percent 162" xfId="2132" xr:uid="{00000000-0005-0000-0000-00007C090000}"/>
    <cellStyle name="Percent 163" xfId="2154" xr:uid="{00000000-0005-0000-0000-00007D090000}"/>
    <cellStyle name="Percent 164" xfId="2131" xr:uid="{00000000-0005-0000-0000-00007E090000}"/>
    <cellStyle name="Percent 165" xfId="2155" xr:uid="{00000000-0005-0000-0000-00007F090000}"/>
    <cellStyle name="Percent 166" xfId="2130" xr:uid="{00000000-0005-0000-0000-000080090000}"/>
    <cellStyle name="Percent 167" xfId="2156" xr:uid="{00000000-0005-0000-0000-000081090000}"/>
    <cellStyle name="Percent 168" xfId="2120" xr:uid="{00000000-0005-0000-0000-000082090000}"/>
    <cellStyle name="Percent 169" xfId="2116" xr:uid="{00000000-0005-0000-0000-000083090000}"/>
    <cellStyle name="Percent 17" xfId="657" xr:uid="{00000000-0005-0000-0000-000084090000}"/>
    <cellStyle name="Percent 17 2" xfId="675" xr:uid="{00000000-0005-0000-0000-000085090000}"/>
    <cellStyle name="Percent 17 3" xfId="899" xr:uid="{00000000-0005-0000-0000-000086090000}"/>
    <cellStyle name="Percent 17 3 2" xfId="1464" xr:uid="{00000000-0005-0000-0000-000087090000}"/>
    <cellStyle name="Percent 17 3 2 2" xfId="2783" xr:uid="{00000000-0005-0000-0000-000088090000}"/>
    <cellStyle name="Percent 17 3 3" xfId="2018" xr:uid="{00000000-0005-0000-0000-000089090000}"/>
    <cellStyle name="Percent 17 3 4" xfId="1463" xr:uid="{00000000-0005-0000-0000-00008A090000}"/>
    <cellStyle name="Percent 17 3 5" xfId="2960" xr:uid="{00000000-0005-0000-0000-00008B090000}"/>
    <cellStyle name="Percent 17 4" xfId="1063" xr:uid="{00000000-0005-0000-0000-00008C090000}"/>
    <cellStyle name="Percent 17 4 2" xfId="1466" xr:uid="{00000000-0005-0000-0000-00008D090000}"/>
    <cellStyle name="Percent 17 4 2 2" xfId="2784" xr:uid="{00000000-0005-0000-0000-00008E090000}"/>
    <cellStyle name="Percent 17 4 3" xfId="2019" xr:uid="{00000000-0005-0000-0000-00008F090000}"/>
    <cellStyle name="Percent 17 4 4" xfId="1465" xr:uid="{00000000-0005-0000-0000-000090090000}"/>
    <cellStyle name="Percent 17 5" xfId="1467" xr:uid="{00000000-0005-0000-0000-000091090000}"/>
    <cellStyle name="Percent 17 5 2" xfId="2785" xr:uid="{00000000-0005-0000-0000-000092090000}"/>
    <cellStyle name="Percent 17 6" xfId="2959" xr:uid="{00000000-0005-0000-0000-000093090000}"/>
    <cellStyle name="Percent 170" xfId="2123" xr:uid="{00000000-0005-0000-0000-000094090000}"/>
    <cellStyle name="Percent 171" xfId="2115" xr:uid="{00000000-0005-0000-0000-000095090000}"/>
    <cellStyle name="Percent 172" xfId="2127" xr:uid="{00000000-0005-0000-0000-000096090000}"/>
    <cellStyle name="Percent 173" xfId="2126" xr:uid="{00000000-0005-0000-0000-000097090000}"/>
    <cellStyle name="Percent 174" xfId="2185" xr:uid="{00000000-0005-0000-0000-000098090000}"/>
    <cellStyle name="Percent 175" xfId="2125" xr:uid="{00000000-0005-0000-0000-000099090000}"/>
    <cellStyle name="Percent 176" xfId="2111" xr:uid="{00000000-0005-0000-0000-00009A090000}"/>
    <cellStyle name="Percent 177" xfId="2118" xr:uid="{00000000-0005-0000-0000-00009B090000}"/>
    <cellStyle name="Percent 178" xfId="2128" xr:uid="{00000000-0005-0000-0000-00009C090000}"/>
    <cellStyle name="Percent 179" xfId="2122" xr:uid="{00000000-0005-0000-0000-00009D090000}"/>
    <cellStyle name="Percent 18" xfId="658" xr:uid="{00000000-0005-0000-0000-00009E090000}"/>
    <cellStyle name="Percent 18 2" xfId="676" xr:uid="{00000000-0005-0000-0000-00009F090000}"/>
    <cellStyle name="Percent 18 3" xfId="900" xr:uid="{00000000-0005-0000-0000-0000A0090000}"/>
    <cellStyle name="Percent 18 3 2" xfId="1469" xr:uid="{00000000-0005-0000-0000-0000A1090000}"/>
    <cellStyle name="Percent 18 3 2 2" xfId="2786" xr:uid="{00000000-0005-0000-0000-0000A2090000}"/>
    <cellStyle name="Percent 18 3 3" xfId="2020" xr:uid="{00000000-0005-0000-0000-0000A3090000}"/>
    <cellStyle name="Percent 18 3 4" xfId="1468" xr:uid="{00000000-0005-0000-0000-0000A4090000}"/>
    <cellStyle name="Percent 18 3 5" xfId="2962" xr:uid="{00000000-0005-0000-0000-0000A5090000}"/>
    <cellStyle name="Percent 18 4" xfId="1064" xr:uid="{00000000-0005-0000-0000-0000A6090000}"/>
    <cellStyle name="Percent 18 4 2" xfId="1471" xr:uid="{00000000-0005-0000-0000-0000A7090000}"/>
    <cellStyle name="Percent 18 4 2 2" xfId="2787" xr:uid="{00000000-0005-0000-0000-0000A8090000}"/>
    <cellStyle name="Percent 18 4 3" xfId="2021" xr:uid="{00000000-0005-0000-0000-0000A9090000}"/>
    <cellStyle name="Percent 18 4 4" xfId="1470" xr:uid="{00000000-0005-0000-0000-0000AA090000}"/>
    <cellStyle name="Percent 18 5" xfId="1472" xr:uid="{00000000-0005-0000-0000-0000AB090000}"/>
    <cellStyle name="Percent 18 5 2" xfId="2788" xr:uid="{00000000-0005-0000-0000-0000AC090000}"/>
    <cellStyle name="Percent 18 6" xfId="2961" xr:uid="{00000000-0005-0000-0000-0000AD090000}"/>
    <cellStyle name="Percent 180" xfId="2117" xr:uid="{00000000-0005-0000-0000-0000AE090000}"/>
    <cellStyle name="Percent 181" xfId="2113" xr:uid="{00000000-0005-0000-0000-0000AF090000}"/>
    <cellStyle name="Percent 182" xfId="2114" xr:uid="{00000000-0005-0000-0000-0000B0090000}"/>
    <cellStyle name="Percent 183" xfId="2119" xr:uid="{00000000-0005-0000-0000-0000B1090000}"/>
    <cellStyle name="Percent 184" xfId="2124" xr:uid="{00000000-0005-0000-0000-0000B2090000}"/>
    <cellStyle name="Percent 185" xfId="2112" xr:uid="{00000000-0005-0000-0000-0000B3090000}"/>
    <cellStyle name="Percent 186" xfId="2555" xr:uid="{00000000-0005-0000-0000-0000B4090000}"/>
    <cellStyle name="Percent 186 2" xfId="2789" xr:uid="{00000000-0005-0000-0000-0000B5090000}"/>
    <cellStyle name="Percent 187" xfId="2560" xr:uid="{00000000-0005-0000-0000-0000B6090000}"/>
    <cellStyle name="Percent 187 2" xfId="2790" xr:uid="{00000000-0005-0000-0000-0000B7090000}"/>
    <cellStyle name="Percent 188" xfId="2587" xr:uid="{00000000-0005-0000-0000-0000B8090000}"/>
    <cellStyle name="Percent 188 2" xfId="2791" xr:uid="{00000000-0005-0000-0000-0000B9090000}"/>
    <cellStyle name="Percent 189" xfId="2683" xr:uid="{00000000-0005-0000-0000-0000BA090000}"/>
    <cellStyle name="Percent 189 2" xfId="2792" xr:uid="{00000000-0005-0000-0000-0000BB090000}"/>
    <cellStyle name="Percent 19" xfId="659" xr:uid="{00000000-0005-0000-0000-0000BC090000}"/>
    <cellStyle name="Percent 19 2" xfId="677" xr:uid="{00000000-0005-0000-0000-0000BD090000}"/>
    <cellStyle name="Percent 19 3" xfId="901" xr:uid="{00000000-0005-0000-0000-0000BE090000}"/>
    <cellStyle name="Percent 19 3 2" xfId="1474" xr:uid="{00000000-0005-0000-0000-0000BF090000}"/>
    <cellStyle name="Percent 19 3 2 2" xfId="2793" xr:uid="{00000000-0005-0000-0000-0000C0090000}"/>
    <cellStyle name="Percent 19 3 3" xfId="2022" xr:uid="{00000000-0005-0000-0000-0000C1090000}"/>
    <cellStyle name="Percent 19 3 4" xfId="1473" xr:uid="{00000000-0005-0000-0000-0000C2090000}"/>
    <cellStyle name="Percent 19 3 5" xfId="2964" xr:uid="{00000000-0005-0000-0000-0000C3090000}"/>
    <cellStyle name="Percent 19 4" xfId="1065" xr:uid="{00000000-0005-0000-0000-0000C4090000}"/>
    <cellStyle name="Percent 19 4 2" xfId="1476" xr:uid="{00000000-0005-0000-0000-0000C5090000}"/>
    <cellStyle name="Percent 19 4 2 2" xfId="2794" xr:uid="{00000000-0005-0000-0000-0000C6090000}"/>
    <cellStyle name="Percent 19 4 3" xfId="2023" xr:uid="{00000000-0005-0000-0000-0000C7090000}"/>
    <cellStyle name="Percent 19 4 4" xfId="1475" xr:uid="{00000000-0005-0000-0000-0000C8090000}"/>
    <cellStyle name="Percent 19 5" xfId="1477" xr:uid="{00000000-0005-0000-0000-0000C9090000}"/>
    <cellStyle name="Percent 19 5 2" xfId="2795" xr:uid="{00000000-0005-0000-0000-0000CA090000}"/>
    <cellStyle name="Percent 19 6" xfId="2963" xr:uid="{00000000-0005-0000-0000-0000CB090000}"/>
    <cellStyle name="Percent 190" xfId="2570" xr:uid="{00000000-0005-0000-0000-0000CC090000}"/>
    <cellStyle name="Percent 190 2" xfId="2796" xr:uid="{00000000-0005-0000-0000-0000CD090000}"/>
    <cellStyle name="Percent 191" xfId="2581" xr:uid="{00000000-0005-0000-0000-0000CE090000}"/>
    <cellStyle name="Percent 191 2" xfId="2797" xr:uid="{00000000-0005-0000-0000-0000CF090000}"/>
    <cellStyle name="Percent 192" xfId="2567" xr:uid="{00000000-0005-0000-0000-0000D0090000}"/>
    <cellStyle name="Percent 192 2" xfId="2798" xr:uid="{00000000-0005-0000-0000-0000D1090000}"/>
    <cellStyle name="Percent 193" xfId="2559" xr:uid="{00000000-0005-0000-0000-0000D2090000}"/>
    <cellStyle name="Percent 193 2" xfId="2799" xr:uid="{00000000-0005-0000-0000-0000D3090000}"/>
    <cellStyle name="Percent 194" xfId="2592" xr:uid="{00000000-0005-0000-0000-0000D4090000}"/>
    <cellStyle name="Percent 194 2" xfId="2800" xr:uid="{00000000-0005-0000-0000-0000D5090000}"/>
    <cellStyle name="Percent 195" xfId="2679" xr:uid="{00000000-0005-0000-0000-0000D6090000}"/>
    <cellStyle name="Percent 195 2" xfId="2801" xr:uid="{00000000-0005-0000-0000-0000D7090000}"/>
    <cellStyle name="Percent 196" xfId="2583" xr:uid="{00000000-0005-0000-0000-0000D8090000}"/>
    <cellStyle name="Percent 196 2" xfId="2802" xr:uid="{00000000-0005-0000-0000-0000D9090000}"/>
    <cellStyle name="Percent 197" xfId="2557" xr:uid="{00000000-0005-0000-0000-0000DA090000}"/>
    <cellStyle name="Percent 197 2" xfId="2803" xr:uid="{00000000-0005-0000-0000-0000DB090000}"/>
    <cellStyle name="Percent 198" xfId="2663" xr:uid="{00000000-0005-0000-0000-0000DC090000}"/>
    <cellStyle name="Percent 198 2" xfId="2804" xr:uid="{00000000-0005-0000-0000-0000DD090000}"/>
    <cellStyle name="Percent 199" xfId="2590" xr:uid="{00000000-0005-0000-0000-0000DE090000}"/>
    <cellStyle name="Percent 199 2" xfId="2805" xr:uid="{00000000-0005-0000-0000-0000DF090000}"/>
    <cellStyle name="Percent 2" xfId="143" xr:uid="{00000000-0005-0000-0000-0000E0090000}"/>
    <cellStyle name="Percent 2 2" xfId="144" xr:uid="{00000000-0005-0000-0000-0000E1090000}"/>
    <cellStyle name="Percent 2 3" xfId="145" xr:uid="{00000000-0005-0000-0000-0000E2090000}"/>
    <cellStyle name="Percent 2 4" xfId="146" xr:uid="{00000000-0005-0000-0000-0000E3090000}"/>
    <cellStyle name="Percent 2 5" xfId="147" xr:uid="{00000000-0005-0000-0000-0000E4090000}"/>
    <cellStyle name="Percent 2 6" xfId="148" xr:uid="{00000000-0005-0000-0000-0000E5090000}"/>
    <cellStyle name="Percent 2 6 2" xfId="477" xr:uid="{00000000-0005-0000-0000-0000E6090000}"/>
    <cellStyle name="Percent 2 6 2 2" xfId="1480" xr:uid="{00000000-0005-0000-0000-0000E7090000}"/>
    <cellStyle name="Percent 2 6 2 2 2" xfId="2806" xr:uid="{00000000-0005-0000-0000-0000E8090000}"/>
    <cellStyle name="Percent 2 6 2 3" xfId="2025" xr:uid="{00000000-0005-0000-0000-0000E9090000}"/>
    <cellStyle name="Percent 2 6 2 4" xfId="1479" xr:uid="{00000000-0005-0000-0000-0000EA090000}"/>
    <cellStyle name="Percent 2 6 2 5" xfId="2966" xr:uid="{00000000-0005-0000-0000-0000EB090000}"/>
    <cellStyle name="Percent 2 6 3" xfId="1481" xr:uid="{00000000-0005-0000-0000-0000EC090000}"/>
    <cellStyle name="Percent 2 6 3 2" xfId="2807" xr:uid="{00000000-0005-0000-0000-0000ED090000}"/>
    <cellStyle name="Percent 2 6 4" xfId="2024" xr:uid="{00000000-0005-0000-0000-0000EE090000}"/>
    <cellStyle name="Percent 2 6 5" xfId="1478" xr:uid="{00000000-0005-0000-0000-0000EF090000}"/>
    <cellStyle name="Percent 2 6 6" xfId="2965" xr:uid="{00000000-0005-0000-0000-0000F0090000}"/>
    <cellStyle name="Percent 20" xfId="660" xr:uid="{00000000-0005-0000-0000-0000F1090000}"/>
    <cellStyle name="Percent 20 2" xfId="678" xr:uid="{00000000-0005-0000-0000-0000F2090000}"/>
    <cellStyle name="Percent 20 3" xfId="902" xr:uid="{00000000-0005-0000-0000-0000F3090000}"/>
    <cellStyle name="Percent 20 3 2" xfId="1483" xr:uid="{00000000-0005-0000-0000-0000F4090000}"/>
    <cellStyle name="Percent 20 3 2 2" xfId="2808" xr:uid="{00000000-0005-0000-0000-0000F5090000}"/>
    <cellStyle name="Percent 20 3 3" xfId="2026" xr:uid="{00000000-0005-0000-0000-0000F6090000}"/>
    <cellStyle name="Percent 20 3 4" xfId="1482" xr:uid="{00000000-0005-0000-0000-0000F7090000}"/>
    <cellStyle name="Percent 20 3 5" xfId="2968" xr:uid="{00000000-0005-0000-0000-0000F8090000}"/>
    <cellStyle name="Percent 20 4" xfId="1066" xr:uid="{00000000-0005-0000-0000-0000F9090000}"/>
    <cellStyle name="Percent 20 4 2" xfId="1485" xr:uid="{00000000-0005-0000-0000-0000FA090000}"/>
    <cellStyle name="Percent 20 4 2 2" xfId="2809" xr:uid="{00000000-0005-0000-0000-0000FB090000}"/>
    <cellStyle name="Percent 20 4 3" xfId="2027" xr:uid="{00000000-0005-0000-0000-0000FC090000}"/>
    <cellStyle name="Percent 20 4 4" xfId="1484" xr:uid="{00000000-0005-0000-0000-0000FD090000}"/>
    <cellStyle name="Percent 20 5" xfId="1486" xr:uid="{00000000-0005-0000-0000-0000FE090000}"/>
    <cellStyle name="Percent 20 5 2" xfId="2810" xr:uid="{00000000-0005-0000-0000-0000FF090000}"/>
    <cellStyle name="Percent 20 6" xfId="2967" xr:uid="{00000000-0005-0000-0000-0000000A0000}"/>
    <cellStyle name="Percent 200" xfId="2594" xr:uid="{00000000-0005-0000-0000-0000010A0000}"/>
    <cellStyle name="Percent 200 2" xfId="2811" xr:uid="{00000000-0005-0000-0000-0000020A0000}"/>
    <cellStyle name="Percent 201" xfId="2685" xr:uid="{00000000-0005-0000-0000-0000030A0000}"/>
    <cellStyle name="Percent 201 2" xfId="2812" xr:uid="{00000000-0005-0000-0000-0000040A0000}"/>
    <cellStyle name="Percent 202" xfId="2657" xr:uid="{00000000-0005-0000-0000-0000050A0000}"/>
    <cellStyle name="Percent 202 2" xfId="2813" xr:uid="{00000000-0005-0000-0000-0000060A0000}"/>
    <cellStyle name="Percent 203" xfId="2669" xr:uid="{00000000-0005-0000-0000-0000070A0000}"/>
    <cellStyle name="Percent 203 2" xfId="2814" xr:uid="{00000000-0005-0000-0000-0000080A0000}"/>
    <cellStyle name="Percent 204" xfId="2572" xr:uid="{00000000-0005-0000-0000-0000090A0000}"/>
    <cellStyle name="Percent 204 2" xfId="2815" xr:uid="{00000000-0005-0000-0000-00000A0A0000}"/>
    <cellStyle name="Percent 205" xfId="2575" xr:uid="{00000000-0005-0000-0000-00000B0A0000}"/>
    <cellStyle name="Percent 205 2" xfId="2816" xr:uid="{00000000-0005-0000-0000-00000C0A0000}"/>
    <cellStyle name="Percent 206" xfId="2682" xr:uid="{00000000-0005-0000-0000-00000D0A0000}"/>
    <cellStyle name="Percent 206 2" xfId="2817" xr:uid="{00000000-0005-0000-0000-00000E0A0000}"/>
    <cellStyle name="Percent 207" xfId="2588" xr:uid="{00000000-0005-0000-0000-00000F0A0000}"/>
    <cellStyle name="Percent 207 2" xfId="2818" xr:uid="{00000000-0005-0000-0000-0000100A0000}"/>
    <cellStyle name="Percent 208" xfId="2664" xr:uid="{00000000-0005-0000-0000-0000110A0000}"/>
    <cellStyle name="Percent 208 2" xfId="2819" xr:uid="{00000000-0005-0000-0000-0000120A0000}"/>
    <cellStyle name="Percent 209" xfId="2556" xr:uid="{00000000-0005-0000-0000-0000130A0000}"/>
    <cellStyle name="Percent 209 2" xfId="2820" xr:uid="{00000000-0005-0000-0000-0000140A0000}"/>
    <cellStyle name="Percent 21" xfId="661" xr:uid="{00000000-0005-0000-0000-0000150A0000}"/>
    <cellStyle name="Percent 21 2" xfId="903" xr:uid="{00000000-0005-0000-0000-0000160A0000}"/>
    <cellStyle name="Percent 21 2 2" xfId="1488" xr:uid="{00000000-0005-0000-0000-0000170A0000}"/>
    <cellStyle name="Percent 21 2 2 2" xfId="2821" xr:uid="{00000000-0005-0000-0000-0000180A0000}"/>
    <cellStyle name="Percent 21 2 3" xfId="2028" xr:uid="{00000000-0005-0000-0000-0000190A0000}"/>
    <cellStyle name="Percent 21 2 4" xfId="1487" xr:uid="{00000000-0005-0000-0000-00001A0A0000}"/>
    <cellStyle name="Percent 21 2 5" xfId="2970" xr:uid="{00000000-0005-0000-0000-00001B0A0000}"/>
    <cellStyle name="Percent 21 3" xfId="865" xr:uid="{00000000-0005-0000-0000-00001C0A0000}"/>
    <cellStyle name="Percent 21 4" xfId="1489" xr:uid="{00000000-0005-0000-0000-00001D0A0000}"/>
    <cellStyle name="Percent 21 4 2" xfId="2822" xr:uid="{00000000-0005-0000-0000-00001E0A0000}"/>
    <cellStyle name="Percent 21 5" xfId="2969" xr:uid="{00000000-0005-0000-0000-00001F0A0000}"/>
    <cellStyle name="Percent 210" xfId="2667" xr:uid="{00000000-0005-0000-0000-0000200A0000}"/>
    <cellStyle name="Percent 210 2" xfId="2823" xr:uid="{00000000-0005-0000-0000-0000210A0000}"/>
    <cellStyle name="Percent 211" xfId="2646" xr:uid="{00000000-0005-0000-0000-0000220A0000}"/>
    <cellStyle name="Percent 211 2" xfId="2824" xr:uid="{00000000-0005-0000-0000-0000230A0000}"/>
    <cellStyle name="Percent 212" xfId="2585" xr:uid="{00000000-0005-0000-0000-0000240A0000}"/>
    <cellStyle name="Percent 212 2" xfId="2825" xr:uid="{00000000-0005-0000-0000-0000250A0000}"/>
    <cellStyle name="Percent 213" xfId="2566" xr:uid="{00000000-0005-0000-0000-0000260A0000}"/>
    <cellStyle name="Percent 213 2" xfId="2826" xr:uid="{00000000-0005-0000-0000-0000270A0000}"/>
    <cellStyle name="Percent 214" xfId="2665" xr:uid="{00000000-0005-0000-0000-0000280A0000}"/>
    <cellStyle name="Percent 214 2" xfId="2827" xr:uid="{00000000-0005-0000-0000-0000290A0000}"/>
    <cellStyle name="Percent 215" xfId="2686" xr:uid="{00000000-0005-0000-0000-00002A0A0000}"/>
    <cellStyle name="Percent 215 2" xfId="2828" xr:uid="{00000000-0005-0000-0000-00002B0A0000}"/>
    <cellStyle name="Percent 216" xfId="2574" xr:uid="{00000000-0005-0000-0000-00002C0A0000}"/>
    <cellStyle name="Percent 216 2" xfId="2945" xr:uid="{00000000-0005-0000-0000-00002D0A0000}"/>
    <cellStyle name="Percent 217" xfId="2541" xr:uid="{00000000-0005-0000-0000-00002E0A0000}"/>
    <cellStyle name="Percent 217 2" xfId="2878" xr:uid="{00000000-0005-0000-0000-00002F0A0000}"/>
    <cellStyle name="Percent 218" xfId="2753" xr:uid="{00000000-0005-0000-0000-0000300A0000}"/>
    <cellStyle name="Percent 219" xfId="2688" xr:uid="{00000000-0005-0000-0000-0000310A0000}"/>
    <cellStyle name="Percent 22" xfId="662" xr:uid="{00000000-0005-0000-0000-0000320A0000}"/>
    <cellStyle name="Percent 22 2" xfId="904" xr:uid="{00000000-0005-0000-0000-0000330A0000}"/>
    <cellStyle name="Percent 22 2 2" xfId="1491" xr:uid="{00000000-0005-0000-0000-0000340A0000}"/>
    <cellStyle name="Percent 22 2 2 2" xfId="2829" xr:uid="{00000000-0005-0000-0000-0000350A0000}"/>
    <cellStyle name="Percent 22 2 3" xfId="2029" xr:uid="{00000000-0005-0000-0000-0000360A0000}"/>
    <cellStyle name="Percent 22 2 4" xfId="1490" xr:uid="{00000000-0005-0000-0000-0000370A0000}"/>
    <cellStyle name="Percent 22 2 5" xfId="2972" xr:uid="{00000000-0005-0000-0000-0000380A0000}"/>
    <cellStyle name="Percent 22 3" xfId="866" xr:uid="{00000000-0005-0000-0000-0000390A0000}"/>
    <cellStyle name="Percent 22 4" xfId="1492" xr:uid="{00000000-0005-0000-0000-00003A0A0000}"/>
    <cellStyle name="Percent 22 4 2" xfId="2830" xr:uid="{00000000-0005-0000-0000-00003B0A0000}"/>
    <cellStyle name="Percent 22 5" xfId="2971" xr:uid="{00000000-0005-0000-0000-00003C0A0000}"/>
    <cellStyle name="Percent 220" xfId="2941" xr:uid="{00000000-0005-0000-0000-00003D0A0000}"/>
    <cellStyle name="Percent 221" xfId="2877" xr:uid="{00000000-0005-0000-0000-00003E0A0000}"/>
    <cellStyle name="Percent 222" xfId="2942" xr:uid="{00000000-0005-0000-0000-00003F0A0000}"/>
    <cellStyle name="Percent 223" xfId="2876" xr:uid="{00000000-0005-0000-0000-0000400A0000}"/>
    <cellStyle name="Percent 224" xfId="2943" xr:uid="{00000000-0005-0000-0000-0000410A0000}"/>
    <cellStyle name="Percent 225" xfId="2759" xr:uid="{00000000-0005-0000-0000-0000420A0000}"/>
    <cellStyle name="Percent 226" xfId="2757" xr:uid="{00000000-0005-0000-0000-0000430A0000}"/>
    <cellStyle name="Percent 227" xfId="2854" xr:uid="{00000000-0005-0000-0000-0000440A0000}"/>
    <cellStyle name="Percent 228" xfId="3031" xr:uid="{00000000-0005-0000-0000-0000450A0000}"/>
    <cellStyle name="Percent 229" xfId="3030" xr:uid="{00000000-0005-0000-0000-0000460A0000}"/>
    <cellStyle name="Percent 23" xfId="663" xr:uid="{00000000-0005-0000-0000-0000470A0000}"/>
    <cellStyle name="Percent 23 2" xfId="2525" xr:uid="{00000000-0005-0000-0000-0000480A0000}"/>
    <cellStyle name="Percent 23 3" xfId="2524" xr:uid="{00000000-0005-0000-0000-0000490A0000}"/>
    <cellStyle name="Percent 24" xfId="664" xr:uid="{00000000-0005-0000-0000-00004A0A0000}"/>
    <cellStyle name="Percent 25" xfId="853" xr:uid="{00000000-0005-0000-0000-00004B0A0000}"/>
    <cellStyle name="Percent 26" xfId="852" xr:uid="{00000000-0005-0000-0000-00004C0A0000}"/>
    <cellStyle name="Percent 27" xfId="869" xr:uid="{00000000-0005-0000-0000-00004D0A0000}"/>
    <cellStyle name="Percent 27 2" xfId="980" xr:uid="{00000000-0005-0000-0000-00004E0A0000}"/>
    <cellStyle name="Percent 27 3" xfId="979" xr:uid="{00000000-0005-0000-0000-00004F0A0000}"/>
    <cellStyle name="Percent 27 3 2" xfId="1494" xr:uid="{00000000-0005-0000-0000-0000500A0000}"/>
    <cellStyle name="Percent 27 3 2 2" xfId="2831" xr:uid="{00000000-0005-0000-0000-0000510A0000}"/>
    <cellStyle name="Percent 27 3 3" xfId="2030" xr:uid="{00000000-0005-0000-0000-0000520A0000}"/>
    <cellStyle name="Percent 27 3 4" xfId="1493" xr:uid="{00000000-0005-0000-0000-0000530A0000}"/>
    <cellStyle name="Percent 27 3 5" xfId="2974" xr:uid="{00000000-0005-0000-0000-0000540A0000}"/>
    <cellStyle name="Percent 27 4" xfId="2973" xr:uid="{00000000-0005-0000-0000-0000550A0000}"/>
    <cellStyle name="Percent 28" xfId="871" xr:uid="{00000000-0005-0000-0000-0000560A0000}"/>
    <cellStyle name="Percent 28 2" xfId="982" xr:uid="{00000000-0005-0000-0000-0000570A0000}"/>
    <cellStyle name="Percent 28 3" xfId="981" xr:uid="{00000000-0005-0000-0000-0000580A0000}"/>
    <cellStyle name="Percent 28 3 2" xfId="1496" xr:uid="{00000000-0005-0000-0000-0000590A0000}"/>
    <cellStyle name="Percent 28 3 2 2" xfId="2832" xr:uid="{00000000-0005-0000-0000-00005A0A0000}"/>
    <cellStyle name="Percent 28 3 3" xfId="2031" xr:uid="{00000000-0005-0000-0000-00005B0A0000}"/>
    <cellStyle name="Percent 28 3 4" xfId="1495" xr:uid="{00000000-0005-0000-0000-00005C0A0000}"/>
    <cellStyle name="Percent 28 3 5" xfId="2976" xr:uid="{00000000-0005-0000-0000-00005D0A0000}"/>
    <cellStyle name="Percent 28 4" xfId="2975" xr:uid="{00000000-0005-0000-0000-00005E0A0000}"/>
    <cellStyle name="Percent 29" xfId="872" xr:uid="{00000000-0005-0000-0000-00005F0A0000}"/>
    <cellStyle name="Percent 29 2" xfId="984" xr:uid="{00000000-0005-0000-0000-0000600A0000}"/>
    <cellStyle name="Percent 29 3" xfId="983" xr:uid="{00000000-0005-0000-0000-0000610A0000}"/>
    <cellStyle name="Percent 29 3 2" xfId="1498" xr:uid="{00000000-0005-0000-0000-0000620A0000}"/>
    <cellStyle name="Percent 29 3 2 2" xfId="2833" xr:uid="{00000000-0005-0000-0000-0000630A0000}"/>
    <cellStyle name="Percent 29 3 3" xfId="2032" xr:uid="{00000000-0005-0000-0000-0000640A0000}"/>
    <cellStyle name="Percent 29 3 4" xfId="1497" xr:uid="{00000000-0005-0000-0000-0000650A0000}"/>
    <cellStyle name="Percent 29 3 5" xfId="2978" xr:uid="{00000000-0005-0000-0000-0000660A0000}"/>
    <cellStyle name="Percent 29 4" xfId="2977" xr:uid="{00000000-0005-0000-0000-0000670A0000}"/>
    <cellStyle name="Percent 3" xfId="149" xr:uid="{00000000-0005-0000-0000-0000680A0000}"/>
    <cellStyle name="Percent 3 2" xfId="150" xr:uid="{00000000-0005-0000-0000-0000690A0000}"/>
    <cellStyle name="Percent 30" xfId="931" xr:uid="{00000000-0005-0000-0000-00006A0A0000}"/>
    <cellStyle name="Percent 30 2" xfId="986" xr:uid="{00000000-0005-0000-0000-00006B0A0000}"/>
    <cellStyle name="Percent 30 3" xfId="985" xr:uid="{00000000-0005-0000-0000-00006C0A0000}"/>
    <cellStyle name="Percent 30 3 2" xfId="1500" xr:uid="{00000000-0005-0000-0000-00006D0A0000}"/>
    <cellStyle name="Percent 30 3 2 2" xfId="2834" xr:uid="{00000000-0005-0000-0000-00006E0A0000}"/>
    <cellStyle name="Percent 30 3 3" xfId="2033" xr:uid="{00000000-0005-0000-0000-00006F0A0000}"/>
    <cellStyle name="Percent 30 3 4" xfId="1499" xr:uid="{00000000-0005-0000-0000-0000700A0000}"/>
    <cellStyle name="Percent 30 3 5" xfId="2980" xr:uid="{00000000-0005-0000-0000-0000710A0000}"/>
    <cellStyle name="Percent 30 4" xfId="2979" xr:uid="{00000000-0005-0000-0000-0000720A0000}"/>
    <cellStyle name="Percent 31" xfId="937" xr:uid="{00000000-0005-0000-0000-0000730A0000}"/>
    <cellStyle name="Percent 31 2" xfId="987" xr:uid="{00000000-0005-0000-0000-0000740A0000}"/>
    <cellStyle name="Percent 31 2 2" xfId="1503" xr:uid="{00000000-0005-0000-0000-0000750A0000}"/>
    <cellStyle name="Percent 31 2 2 2" xfId="2835" xr:uid="{00000000-0005-0000-0000-0000760A0000}"/>
    <cellStyle name="Percent 31 2 3" xfId="2035" xr:uid="{00000000-0005-0000-0000-0000770A0000}"/>
    <cellStyle name="Percent 31 2 4" xfId="1502" xr:uid="{00000000-0005-0000-0000-0000780A0000}"/>
    <cellStyle name="Percent 31 2 5" xfId="2982" xr:uid="{00000000-0005-0000-0000-0000790A0000}"/>
    <cellStyle name="Percent 31 3" xfId="1024" xr:uid="{00000000-0005-0000-0000-00007A0A0000}"/>
    <cellStyle name="Percent 31 4" xfId="2034" xr:uid="{00000000-0005-0000-0000-00007B0A0000}"/>
    <cellStyle name="Percent 31 5" xfId="1501" xr:uid="{00000000-0005-0000-0000-00007C0A0000}"/>
    <cellStyle name="Percent 31 6" xfId="2981" xr:uid="{00000000-0005-0000-0000-00007D0A0000}"/>
    <cellStyle name="Percent 32" xfId="939" xr:uid="{00000000-0005-0000-0000-00007E0A0000}"/>
    <cellStyle name="Percent 32 2" xfId="988" xr:uid="{00000000-0005-0000-0000-00007F0A0000}"/>
    <cellStyle name="Percent 32 2 2" xfId="1506" xr:uid="{00000000-0005-0000-0000-0000800A0000}"/>
    <cellStyle name="Percent 32 2 2 2" xfId="2836" xr:uid="{00000000-0005-0000-0000-0000810A0000}"/>
    <cellStyle name="Percent 32 2 3" xfId="2037" xr:uid="{00000000-0005-0000-0000-0000820A0000}"/>
    <cellStyle name="Percent 32 2 4" xfId="1505" xr:uid="{00000000-0005-0000-0000-0000830A0000}"/>
    <cellStyle name="Percent 32 2 5" xfId="2984" xr:uid="{00000000-0005-0000-0000-0000840A0000}"/>
    <cellStyle name="Percent 32 3" xfId="1025" xr:uid="{00000000-0005-0000-0000-0000850A0000}"/>
    <cellStyle name="Percent 32 4" xfId="2036" xr:uid="{00000000-0005-0000-0000-0000860A0000}"/>
    <cellStyle name="Percent 32 5" xfId="1504" xr:uid="{00000000-0005-0000-0000-0000870A0000}"/>
    <cellStyle name="Percent 32 6" xfId="2983" xr:uid="{00000000-0005-0000-0000-0000880A0000}"/>
    <cellStyle name="Percent 33" xfId="989" xr:uid="{00000000-0005-0000-0000-0000890A0000}"/>
    <cellStyle name="Percent 33 2" xfId="1508" xr:uid="{00000000-0005-0000-0000-00008A0A0000}"/>
    <cellStyle name="Percent 33 2 2" xfId="2837" xr:uid="{00000000-0005-0000-0000-00008B0A0000}"/>
    <cellStyle name="Percent 33 3" xfId="2038" xr:uid="{00000000-0005-0000-0000-00008C0A0000}"/>
    <cellStyle name="Percent 33 4" xfId="1507" xr:uid="{00000000-0005-0000-0000-00008D0A0000}"/>
    <cellStyle name="Percent 33 5" xfId="2523" xr:uid="{00000000-0005-0000-0000-00008E0A0000}"/>
    <cellStyle name="Percent 33 5 2" xfId="2985" xr:uid="{00000000-0005-0000-0000-00008F0A0000}"/>
    <cellStyle name="Percent 34" xfId="990" xr:uid="{00000000-0005-0000-0000-0000900A0000}"/>
    <cellStyle name="Percent 34 2" xfId="1510" xr:uid="{00000000-0005-0000-0000-0000910A0000}"/>
    <cellStyle name="Percent 34 2 2" xfId="2838" xr:uid="{00000000-0005-0000-0000-0000920A0000}"/>
    <cellStyle name="Percent 34 3" xfId="2039" xr:uid="{00000000-0005-0000-0000-0000930A0000}"/>
    <cellStyle name="Percent 34 4" xfId="1509" xr:uid="{00000000-0005-0000-0000-0000940A0000}"/>
    <cellStyle name="Percent 34 5" xfId="2522" xr:uid="{00000000-0005-0000-0000-0000950A0000}"/>
    <cellStyle name="Percent 34 5 2" xfId="2986" xr:uid="{00000000-0005-0000-0000-0000960A0000}"/>
    <cellStyle name="Percent 35" xfId="991" xr:uid="{00000000-0005-0000-0000-0000970A0000}"/>
    <cellStyle name="Percent 35 2" xfId="1512" xr:uid="{00000000-0005-0000-0000-0000980A0000}"/>
    <cellStyle name="Percent 35 2 2" xfId="2839" xr:uid="{00000000-0005-0000-0000-0000990A0000}"/>
    <cellStyle name="Percent 35 3" xfId="2040" xr:uid="{00000000-0005-0000-0000-00009A0A0000}"/>
    <cellStyle name="Percent 35 4" xfId="1511" xr:uid="{00000000-0005-0000-0000-00009B0A0000}"/>
    <cellStyle name="Percent 35 5" xfId="2521" xr:uid="{00000000-0005-0000-0000-00009C0A0000}"/>
    <cellStyle name="Percent 35 5 2" xfId="2987" xr:uid="{00000000-0005-0000-0000-00009D0A0000}"/>
    <cellStyle name="Percent 36" xfId="992" xr:uid="{00000000-0005-0000-0000-00009E0A0000}"/>
    <cellStyle name="Percent 36 2" xfId="1514" xr:uid="{00000000-0005-0000-0000-00009F0A0000}"/>
    <cellStyle name="Percent 36 2 2" xfId="2840" xr:uid="{00000000-0005-0000-0000-0000A00A0000}"/>
    <cellStyle name="Percent 36 3" xfId="2041" xr:uid="{00000000-0005-0000-0000-0000A10A0000}"/>
    <cellStyle name="Percent 36 4" xfId="1513" xr:uid="{00000000-0005-0000-0000-0000A20A0000}"/>
    <cellStyle name="Percent 36 5" xfId="2988" xr:uid="{00000000-0005-0000-0000-0000A30A0000}"/>
    <cellStyle name="Percent 37" xfId="993" xr:uid="{00000000-0005-0000-0000-0000A40A0000}"/>
    <cellStyle name="Percent 37 2" xfId="1516" xr:uid="{00000000-0005-0000-0000-0000A50A0000}"/>
    <cellStyle name="Percent 37 2 2" xfId="2841" xr:uid="{00000000-0005-0000-0000-0000A60A0000}"/>
    <cellStyle name="Percent 37 3" xfId="2042" xr:uid="{00000000-0005-0000-0000-0000A70A0000}"/>
    <cellStyle name="Percent 37 4" xfId="1515" xr:uid="{00000000-0005-0000-0000-0000A80A0000}"/>
    <cellStyle name="Percent 37 5" xfId="2989" xr:uid="{00000000-0005-0000-0000-0000A90A0000}"/>
    <cellStyle name="Percent 38" xfId="994" xr:uid="{00000000-0005-0000-0000-0000AA0A0000}"/>
    <cellStyle name="Percent 38 2" xfId="1518" xr:uid="{00000000-0005-0000-0000-0000AB0A0000}"/>
    <cellStyle name="Percent 38 2 2" xfId="2842" xr:uid="{00000000-0005-0000-0000-0000AC0A0000}"/>
    <cellStyle name="Percent 38 3" xfId="2043" xr:uid="{00000000-0005-0000-0000-0000AD0A0000}"/>
    <cellStyle name="Percent 38 4" xfId="1517" xr:uid="{00000000-0005-0000-0000-0000AE0A0000}"/>
    <cellStyle name="Percent 38 5" xfId="2990" xr:uid="{00000000-0005-0000-0000-0000AF0A0000}"/>
    <cellStyle name="Percent 39" xfId="995" xr:uid="{00000000-0005-0000-0000-0000B00A0000}"/>
    <cellStyle name="Percent 39 2" xfId="1520" xr:uid="{00000000-0005-0000-0000-0000B10A0000}"/>
    <cellStyle name="Percent 39 2 2" xfId="2843" xr:uid="{00000000-0005-0000-0000-0000B20A0000}"/>
    <cellStyle name="Percent 39 3" xfId="2044" xr:uid="{00000000-0005-0000-0000-0000B30A0000}"/>
    <cellStyle name="Percent 39 4" xfId="1519" xr:uid="{00000000-0005-0000-0000-0000B40A0000}"/>
    <cellStyle name="Percent 39 5" xfId="2991" xr:uid="{00000000-0005-0000-0000-0000B50A0000}"/>
    <cellStyle name="Percent 4" xfId="151" xr:uid="{00000000-0005-0000-0000-0000B60A0000}"/>
    <cellStyle name="Percent 4 2" xfId="189" xr:uid="{00000000-0005-0000-0000-0000B70A0000}"/>
    <cellStyle name="Percent 4 2 2" xfId="553" xr:uid="{00000000-0005-0000-0000-0000B80A0000}"/>
    <cellStyle name="Percent 4 2 3" xfId="478" xr:uid="{00000000-0005-0000-0000-0000B90A0000}"/>
    <cellStyle name="Percent 4 2 3 2" xfId="1523" xr:uid="{00000000-0005-0000-0000-0000BA0A0000}"/>
    <cellStyle name="Percent 4 2 3 2 2" xfId="2844" xr:uid="{00000000-0005-0000-0000-0000BB0A0000}"/>
    <cellStyle name="Percent 4 2 3 3" xfId="2046" xr:uid="{00000000-0005-0000-0000-0000BC0A0000}"/>
    <cellStyle name="Percent 4 2 3 4" xfId="1522" xr:uid="{00000000-0005-0000-0000-0000BD0A0000}"/>
    <cellStyle name="Percent 4 2 3 5" xfId="2993" xr:uid="{00000000-0005-0000-0000-0000BE0A0000}"/>
    <cellStyle name="Percent 4 3" xfId="1524" xr:uid="{00000000-0005-0000-0000-0000BF0A0000}"/>
    <cellStyle name="Percent 4 3 2" xfId="2845" xr:uid="{00000000-0005-0000-0000-0000C00A0000}"/>
    <cellStyle name="Percent 4 4" xfId="2045" xr:uid="{00000000-0005-0000-0000-0000C10A0000}"/>
    <cellStyle name="Percent 4 5" xfId="1521" xr:uid="{00000000-0005-0000-0000-0000C20A0000}"/>
    <cellStyle name="Percent 4 6" xfId="2992" xr:uid="{00000000-0005-0000-0000-0000C30A0000}"/>
    <cellStyle name="Percent 40" xfId="996" xr:uid="{00000000-0005-0000-0000-0000C40A0000}"/>
    <cellStyle name="Percent 40 2" xfId="1526" xr:uid="{00000000-0005-0000-0000-0000C50A0000}"/>
    <cellStyle name="Percent 40 2 2" xfId="2846" xr:uid="{00000000-0005-0000-0000-0000C60A0000}"/>
    <cellStyle name="Percent 40 3" xfId="2047" xr:uid="{00000000-0005-0000-0000-0000C70A0000}"/>
    <cellStyle name="Percent 40 4" xfId="1525" xr:uid="{00000000-0005-0000-0000-0000C80A0000}"/>
    <cellStyle name="Percent 40 5" xfId="2994" xr:uid="{00000000-0005-0000-0000-0000C90A0000}"/>
    <cellStyle name="Percent 41" xfId="997" xr:uid="{00000000-0005-0000-0000-0000CA0A0000}"/>
    <cellStyle name="Percent 41 2" xfId="1528" xr:uid="{00000000-0005-0000-0000-0000CB0A0000}"/>
    <cellStyle name="Percent 41 2 2" xfId="2847" xr:uid="{00000000-0005-0000-0000-0000CC0A0000}"/>
    <cellStyle name="Percent 41 3" xfId="2048" xr:uid="{00000000-0005-0000-0000-0000CD0A0000}"/>
    <cellStyle name="Percent 41 4" xfId="1527" xr:uid="{00000000-0005-0000-0000-0000CE0A0000}"/>
    <cellStyle name="Percent 41 5" xfId="2995" xr:uid="{00000000-0005-0000-0000-0000CF0A0000}"/>
    <cellStyle name="Percent 42" xfId="998" xr:uid="{00000000-0005-0000-0000-0000D00A0000}"/>
    <cellStyle name="Percent 42 2" xfId="1530" xr:uid="{00000000-0005-0000-0000-0000D10A0000}"/>
    <cellStyle name="Percent 42 2 2" xfId="2848" xr:uid="{00000000-0005-0000-0000-0000D20A0000}"/>
    <cellStyle name="Percent 42 3" xfId="2049" xr:uid="{00000000-0005-0000-0000-0000D30A0000}"/>
    <cellStyle name="Percent 42 4" xfId="1529" xr:uid="{00000000-0005-0000-0000-0000D40A0000}"/>
    <cellStyle name="Percent 42 5" xfId="2996" xr:uid="{00000000-0005-0000-0000-0000D50A0000}"/>
    <cellStyle name="Percent 43" xfId="999" xr:uid="{00000000-0005-0000-0000-0000D60A0000}"/>
    <cellStyle name="Percent 43 2" xfId="1532" xr:uid="{00000000-0005-0000-0000-0000D70A0000}"/>
    <cellStyle name="Percent 43 2 2" xfId="2849" xr:uid="{00000000-0005-0000-0000-0000D80A0000}"/>
    <cellStyle name="Percent 43 3" xfId="2050" xr:uid="{00000000-0005-0000-0000-0000D90A0000}"/>
    <cellStyle name="Percent 43 4" xfId="1531" xr:uid="{00000000-0005-0000-0000-0000DA0A0000}"/>
    <cellStyle name="Percent 43 5" xfId="2997" xr:uid="{00000000-0005-0000-0000-0000DB0A0000}"/>
    <cellStyle name="Percent 44" xfId="976" xr:uid="{00000000-0005-0000-0000-0000DC0A0000}"/>
    <cellStyle name="Percent 45" xfId="941" xr:uid="{00000000-0005-0000-0000-0000DD0A0000}"/>
    <cellStyle name="Percent 46" xfId="1009" xr:uid="{00000000-0005-0000-0000-0000DE0A0000}"/>
    <cellStyle name="Percent 47" xfId="1006" xr:uid="{00000000-0005-0000-0000-0000DF0A0000}"/>
    <cellStyle name="Percent 48" xfId="1026" xr:uid="{00000000-0005-0000-0000-0000E00A0000}"/>
    <cellStyle name="Percent 48 2" xfId="1068" xr:uid="{00000000-0005-0000-0000-0000E10A0000}"/>
    <cellStyle name="Percent 48 2 2" xfId="1534" xr:uid="{00000000-0005-0000-0000-0000E20A0000}"/>
    <cellStyle name="Percent 48 2 2 2" xfId="2850" xr:uid="{00000000-0005-0000-0000-0000E30A0000}"/>
    <cellStyle name="Percent 48 2 3" xfId="2051" xr:uid="{00000000-0005-0000-0000-0000E40A0000}"/>
    <cellStyle name="Percent 48 2 4" xfId="1533" xr:uid="{00000000-0005-0000-0000-0000E50A0000}"/>
    <cellStyle name="Percent 48 2 5" xfId="2999" xr:uid="{00000000-0005-0000-0000-0000E60A0000}"/>
    <cellStyle name="Percent 48 3" xfId="1067" xr:uid="{00000000-0005-0000-0000-0000E70A0000}"/>
    <cellStyle name="Percent 48 4" xfId="1535" xr:uid="{00000000-0005-0000-0000-0000E80A0000}"/>
    <cellStyle name="Percent 48 4 2" xfId="2851" xr:uid="{00000000-0005-0000-0000-0000E90A0000}"/>
    <cellStyle name="Percent 48 5" xfId="2998" xr:uid="{00000000-0005-0000-0000-0000EA0A0000}"/>
    <cellStyle name="Percent 49" xfId="1027" xr:uid="{00000000-0005-0000-0000-0000EB0A0000}"/>
    <cellStyle name="Percent 49 2" xfId="1070" xr:uid="{00000000-0005-0000-0000-0000EC0A0000}"/>
    <cellStyle name="Percent 49 2 2" xfId="1537" xr:uid="{00000000-0005-0000-0000-0000ED0A0000}"/>
    <cellStyle name="Percent 49 2 2 2" xfId="2852" xr:uid="{00000000-0005-0000-0000-0000EE0A0000}"/>
    <cellStyle name="Percent 49 2 3" xfId="2052" xr:uid="{00000000-0005-0000-0000-0000EF0A0000}"/>
    <cellStyle name="Percent 49 2 4" xfId="1536" xr:uid="{00000000-0005-0000-0000-0000F00A0000}"/>
    <cellStyle name="Percent 49 2 5" xfId="3001" xr:uid="{00000000-0005-0000-0000-0000F10A0000}"/>
    <cellStyle name="Percent 49 3" xfId="1069" xr:uid="{00000000-0005-0000-0000-0000F20A0000}"/>
    <cellStyle name="Percent 49 4" xfId="1538" xr:uid="{00000000-0005-0000-0000-0000F30A0000}"/>
    <cellStyle name="Percent 49 4 2" xfId="2853" xr:uid="{00000000-0005-0000-0000-0000F40A0000}"/>
    <cellStyle name="Percent 49 5" xfId="3000" xr:uid="{00000000-0005-0000-0000-0000F50A0000}"/>
    <cellStyle name="Percent 5" xfId="152" xr:uid="{00000000-0005-0000-0000-0000F60A0000}"/>
    <cellStyle name="Percent 50" xfId="1023" xr:uid="{00000000-0005-0000-0000-0000F70A0000}"/>
    <cellStyle name="Percent 51" xfId="1030" xr:uid="{00000000-0005-0000-0000-0000F80A0000}"/>
    <cellStyle name="Percent 51 2" xfId="1072" xr:uid="{00000000-0005-0000-0000-0000F90A0000}"/>
    <cellStyle name="Percent 51 2 2" xfId="1169" xr:uid="{00000000-0005-0000-0000-0000FA0A0000}"/>
    <cellStyle name="Percent 51 2 3" xfId="1539" xr:uid="{00000000-0005-0000-0000-0000FB0A0000}"/>
    <cellStyle name="Percent 51 2 3 2" xfId="2053" xr:uid="{00000000-0005-0000-0000-0000FC0A0000}"/>
    <cellStyle name="Percent 51 2 4" xfId="1540" xr:uid="{00000000-0005-0000-0000-0000FD0A0000}"/>
    <cellStyle name="Percent 51 2 4 2" xfId="2855" xr:uid="{00000000-0005-0000-0000-0000FE0A0000}"/>
    <cellStyle name="Percent 51 3" xfId="1071" xr:uid="{00000000-0005-0000-0000-0000FF0A0000}"/>
    <cellStyle name="Percent 51 3 2" xfId="1542" xr:uid="{00000000-0005-0000-0000-0000000B0000}"/>
    <cellStyle name="Percent 51 3 3" xfId="2054" xr:uid="{00000000-0005-0000-0000-0000010B0000}"/>
    <cellStyle name="Percent 51 3 4" xfId="1541" xr:uid="{00000000-0005-0000-0000-0000020B0000}"/>
    <cellStyle name="Percent 51 4" xfId="1543" xr:uid="{00000000-0005-0000-0000-0000030B0000}"/>
    <cellStyle name="Percent 51 4 2" xfId="2856" xr:uid="{00000000-0005-0000-0000-0000040B0000}"/>
    <cellStyle name="Percent 51 5" xfId="3002" xr:uid="{00000000-0005-0000-0000-0000050B0000}"/>
    <cellStyle name="Percent 52" xfId="1012" xr:uid="{00000000-0005-0000-0000-0000060B0000}"/>
    <cellStyle name="Percent 52 2" xfId="1073" xr:uid="{00000000-0005-0000-0000-0000070B0000}"/>
    <cellStyle name="Percent 52 2 2" xfId="1170" xr:uid="{00000000-0005-0000-0000-0000080B0000}"/>
    <cellStyle name="Percent 52 2 3" xfId="1544" xr:uid="{00000000-0005-0000-0000-0000090B0000}"/>
    <cellStyle name="Percent 52 2 3 2" xfId="2055" xr:uid="{00000000-0005-0000-0000-00000A0B0000}"/>
    <cellStyle name="Percent 52 2 4" xfId="1545" xr:uid="{00000000-0005-0000-0000-00000B0B0000}"/>
    <cellStyle name="Percent 52 2 4 2" xfId="2857" xr:uid="{00000000-0005-0000-0000-00000C0B0000}"/>
    <cellStyle name="Percent 52 3" xfId="1546" xr:uid="{00000000-0005-0000-0000-00000D0B0000}"/>
    <cellStyle name="Percent 52 3 2" xfId="2056" xr:uid="{00000000-0005-0000-0000-00000E0B0000}"/>
    <cellStyle name="Percent 52 4" xfId="3003" xr:uid="{00000000-0005-0000-0000-00000F0B0000}"/>
    <cellStyle name="Percent 53" xfId="1074" xr:uid="{00000000-0005-0000-0000-0000100B0000}"/>
    <cellStyle name="Percent 53 2" xfId="1075" xr:uid="{00000000-0005-0000-0000-0000110B0000}"/>
    <cellStyle name="Percent 53 2 2" xfId="1171" xr:uid="{00000000-0005-0000-0000-0000120B0000}"/>
    <cellStyle name="Percent 53 2 3" xfId="1547" xr:uid="{00000000-0005-0000-0000-0000130B0000}"/>
    <cellStyle name="Percent 53 2 3 2" xfId="2057" xr:uid="{00000000-0005-0000-0000-0000140B0000}"/>
    <cellStyle name="Percent 53 2 4" xfId="1548" xr:uid="{00000000-0005-0000-0000-0000150B0000}"/>
    <cellStyle name="Percent 53 2 4 2" xfId="2858" xr:uid="{00000000-0005-0000-0000-0000160B0000}"/>
    <cellStyle name="Percent 53 3" xfId="1549" xr:uid="{00000000-0005-0000-0000-0000170B0000}"/>
    <cellStyle name="Percent 53 3 2" xfId="2058" xr:uid="{00000000-0005-0000-0000-0000180B0000}"/>
    <cellStyle name="Percent 53 4" xfId="3004" xr:uid="{00000000-0005-0000-0000-0000190B0000}"/>
    <cellStyle name="Percent 54" xfId="1076" xr:uid="{00000000-0005-0000-0000-00001A0B0000}"/>
    <cellStyle name="Percent 54 2" xfId="1077" xr:uid="{00000000-0005-0000-0000-00001B0B0000}"/>
    <cellStyle name="Percent 54 2 2" xfId="1172" xr:uid="{00000000-0005-0000-0000-00001C0B0000}"/>
    <cellStyle name="Percent 54 2 3" xfId="1550" xr:uid="{00000000-0005-0000-0000-00001D0B0000}"/>
    <cellStyle name="Percent 54 2 3 2" xfId="2059" xr:uid="{00000000-0005-0000-0000-00001E0B0000}"/>
    <cellStyle name="Percent 54 2 4" xfId="1551" xr:uid="{00000000-0005-0000-0000-00001F0B0000}"/>
    <cellStyle name="Percent 54 2 4 2" xfId="2859" xr:uid="{00000000-0005-0000-0000-0000200B0000}"/>
    <cellStyle name="Percent 54 3" xfId="1552" xr:uid="{00000000-0005-0000-0000-0000210B0000}"/>
    <cellStyle name="Percent 54 3 2" xfId="2060" xr:uid="{00000000-0005-0000-0000-0000220B0000}"/>
    <cellStyle name="Percent 54 4" xfId="3005" xr:uid="{00000000-0005-0000-0000-0000230B0000}"/>
    <cellStyle name="Percent 55" xfId="1078" xr:uid="{00000000-0005-0000-0000-0000240B0000}"/>
    <cellStyle name="Percent 55 2" xfId="1079" xr:uid="{00000000-0005-0000-0000-0000250B0000}"/>
    <cellStyle name="Percent 55 2 2" xfId="1173" xr:uid="{00000000-0005-0000-0000-0000260B0000}"/>
    <cellStyle name="Percent 55 2 3" xfId="1553" xr:uid="{00000000-0005-0000-0000-0000270B0000}"/>
    <cellStyle name="Percent 55 2 3 2" xfId="2061" xr:uid="{00000000-0005-0000-0000-0000280B0000}"/>
    <cellStyle name="Percent 55 2 4" xfId="1554" xr:uid="{00000000-0005-0000-0000-0000290B0000}"/>
    <cellStyle name="Percent 55 2 4 2" xfId="2860" xr:uid="{00000000-0005-0000-0000-00002A0B0000}"/>
    <cellStyle name="Percent 55 3" xfId="1555" xr:uid="{00000000-0005-0000-0000-00002B0B0000}"/>
    <cellStyle name="Percent 55 3 2" xfId="2062" xr:uid="{00000000-0005-0000-0000-00002C0B0000}"/>
    <cellStyle name="Percent 55 4" xfId="3006" xr:uid="{00000000-0005-0000-0000-00002D0B0000}"/>
    <cellStyle name="Percent 56" xfId="1080" xr:uid="{00000000-0005-0000-0000-00002E0B0000}"/>
    <cellStyle name="Percent 57" xfId="1081" xr:uid="{00000000-0005-0000-0000-00002F0B0000}"/>
    <cellStyle name="Percent 58" xfId="1082" xr:uid="{00000000-0005-0000-0000-0000300B0000}"/>
    <cellStyle name="Percent 59" xfId="1083" xr:uid="{00000000-0005-0000-0000-0000310B0000}"/>
    <cellStyle name="Percent 6" xfId="237" xr:uid="{00000000-0005-0000-0000-0000320B0000}"/>
    <cellStyle name="Percent 6 2" xfId="665" xr:uid="{00000000-0005-0000-0000-0000330B0000}"/>
    <cellStyle name="Percent 6 2 2" xfId="859" xr:uid="{00000000-0005-0000-0000-0000340B0000}"/>
    <cellStyle name="Percent 6 2 3" xfId="1557" xr:uid="{00000000-0005-0000-0000-0000350B0000}"/>
    <cellStyle name="Percent 6 2 3 2" xfId="2861" xr:uid="{00000000-0005-0000-0000-0000360B0000}"/>
    <cellStyle name="Percent 6 2 4" xfId="2063" xr:uid="{00000000-0005-0000-0000-0000370B0000}"/>
    <cellStyle name="Percent 6 2 5" xfId="1556" xr:uid="{00000000-0005-0000-0000-0000380B0000}"/>
    <cellStyle name="Percent 6 2 6" xfId="3007" xr:uid="{00000000-0005-0000-0000-0000390B0000}"/>
    <cellStyle name="Percent 60" xfId="1084" xr:uid="{00000000-0005-0000-0000-00003A0B0000}"/>
    <cellStyle name="Percent 61" xfId="1085" xr:uid="{00000000-0005-0000-0000-00003B0B0000}"/>
    <cellStyle name="Percent 62" xfId="1086" xr:uid="{00000000-0005-0000-0000-00003C0B0000}"/>
    <cellStyle name="Percent 63" xfId="1087" xr:uid="{00000000-0005-0000-0000-00003D0B0000}"/>
    <cellStyle name="Percent 64" xfId="1174" xr:uid="{00000000-0005-0000-0000-00003E0B0000}"/>
    <cellStyle name="Percent 65" xfId="1175" xr:uid="{00000000-0005-0000-0000-00003F0B0000}"/>
    <cellStyle name="Percent 66" xfId="1176" xr:uid="{00000000-0005-0000-0000-0000400B0000}"/>
    <cellStyle name="Percent 66 2" xfId="1559" xr:uid="{00000000-0005-0000-0000-0000410B0000}"/>
    <cellStyle name="Percent 66 2 2" xfId="2862" xr:uid="{00000000-0005-0000-0000-0000420B0000}"/>
    <cellStyle name="Percent 66 3" xfId="2064" xr:uid="{00000000-0005-0000-0000-0000430B0000}"/>
    <cellStyle name="Percent 66 4" xfId="1558" xr:uid="{00000000-0005-0000-0000-0000440B0000}"/>
    <cellStyle name="Percent 66 5" xfId="3008" xr:uid="{00000000-0005-0000-0000-0000450B0000}"/>
    <cellStyle name="Percent 67" xfId="1177" xr:uid="{00000000-0005-0000-0000-0000460B0000}"/>
    <cellStyle name="Percent 67 2" xfId="1561" xr:uid="{00000000-0005-0000-0000-0000470B0000}"/>
    <cellStyle name="Percent 67 2 2" xfId="2863" xr:uid="{00000000-0005-0000-0000-0000480B0000}"/>
    <cellStyle name="Percent 67 3" xfId="2065" xr:uid="{00000000-0005-0000-0000-0000490B0000}"/>
    <cellStyle name="Percent 67 4" xfId="1560" xr:uid="{00000000-0005-0000-0000-00004A0B0000}"/>
    <cellStyle name="Percent 67 5" xfId="3009" xr:uid="{00000000-0005-0000-0000-00004B0B0000}"/>
    <cellStyle name="Percent 68" xfId="1178" xr:uid="{00000000-0005-0000-0000-00004C0B0000}"/>
    <cellStyle name="Percent 68 2" xfId="1563" xr:uid="{00000000-0005-0000-0000-00004D0B0000}"/>
    <cellStyle name="Percent 68 2 2" xfId="2864" xr:uid="{00000000-0005-0000-0000-00004E0B0000}"/>
    <cellStyle name="Percent 68 3" xfId="2066" xr:uid="{00000000-0005-0000-0000-00004F0B0000}"/>
    <cellStyle name="Percent 68 4" xfId="1562" xr:uid="{00000000-0005-0000-0000-0000500B0000}"/>
    <cellStyle name="Percent 68 5" xfId="3010" xr:uid="{00000000-0005-0000-0000-0000510B0000}"/>
    <cellStyle name="Percent 69" xfId="1168" xr:uid="{00000000-0005-0000-0000-0000520B0000}"/>
    <cellStyle name="Percent 7" xfId="229" xr:uid="{00000000-0005-0000-0000-0000530B0000}"/>
    <cellStyle name="Percent 7 2" xfId="666" xr:uid="{00000000-0005-0000-0000-0000540B0000}"/>
    <cellStyle name="Percent 7 2 2" xfId="863" xr:uid="{00000000-0005-0000-0000-0000550B0000}"/>
    <cellStyle name="Percent 7 2 3" xfId="1565" xr:uid="{00000000-0005-0000-0000-0000560B0000}"/>
    <cellStyle name="Percent 7 2 3 2" xfId="2865" xr:uid="{00000000-0005-0000-0000-0000570B0000}"/>
    <cellStyle name="Percent 7 2 4" xfId="2067" xr:uid="{00000000-0005-0000-0000-0000580B0000}"/>
    <cellStyle name="Percent 7 2 5" xfId="1564" xr:uid="{00000000-0005-0000-0000-0000590B0000}"/>
    <cellStyle name="Percent 7 2 6" xfId="3011" xr:uid="{00000000-0005-0000-0000-00005A0B0000}"/>
    <cellStyle name="Percent 70" xfId="1160" xr:uid="{00000000-0005-0000-0000-00005B0B0000}"/>
    <cellStyle name="Percent 70 2" xfId="3032" xr:uid="{00000000-0005-0000-0000-00005C0B0000}"/>
    <cellStyle name="Percent 71" xfId="1167" xr:uid="{00000000-0005-0000-0000-00005D0B0000}"/>
    <cellStyle name="Percent 71 2" xfId="3034" xr:uid="{00000000-0005-0000-0000-00005E0B0000}"/>
    <cellStyle name="Percent 72" xfId="1159" xr:uid="{00000000-0005-0000-0000-00005F0B0000}"/>
    <cellStyle name="Percent 73" xfId="1187" xr:uid="{00000000-0005-0000-0000-0000600B0000}"/>
    <cellStyle name="Percent 73 2" xfId="1566" xr:uid="{00000000-0005-0000-0000-0000610B0000}"/>
    <cellStyle name="Percent 73 3" xfId="2596" xr:uid="{00000000-0005-0000-0000-0000620B0000}"/>
    <cellStyle name="Percent 74" xfId="1189" xr:uid="{00000000-0005-0000-0000-0000630B0000}"/>
    <cellStyle name="Percent 74 2" xfId="1567" xr:uid="{00000000-0005-0000-0000-0000640B0000}"/>
    <cellStyle name="Percent 74 3" xfId="2598" xr:uid="{00000000-0005-0000-0000-0000650B0000}"/>
    <cellStyle name="Percent 75" xfId="1191" xr:uid="{00000000-0005-0000-0000-0000660B0000}"/>
    <cellStyle name="Percent 75 2" xfId="1568" xr:uid="{00000000-0005-0000-0000-0000670B0000}"/>
    <cellStyle name="Percent 75 3" xfId="2600" xr:uid="{00000000-0005-0000-0000-0000680B0000}"/>
    <cellStyle name="Percent 76" xfId="1194" xr:uid="{00000000-0005-0000-0000-0000690B0000}"/>
    <cellStyle name="Percent 76 2" xfId="1569" xr:uid="{00000000-0005-0000-0000-00006A0B0000}"/>
    <cellStyle name="Percent 76 3" xfId="2603" xr:uid="{00000000-0005-0000-0000-00006B0B0000}"/>
    <cellStyle name="Percent 77" xfId="1195" xr:uid="{00000000-0005-0000-0000-00006C0B0000}"/>
    <cellStyle name="Percent 77 2" xfId="1570" xr:uid="{00000000-0005-0000-0000-00006D0B0000}"/>
    <cellStyle name="Percent 77 3" xfId="2604" xr:uid="{00000000-0005-0000-0000-00006E0B0000}"/>
    <cellStyle name="Percent 78" xfId="1198" xr:uid="{00000000-0005-0000-0000-00006F0B0000}"/>
    <cellStyle name="Percent 78 2" xfId="1571" xr:uid="{00000000-0005-0000-0000-0000700B0000}"/>
    <cellStyle name="Percent 78 3" xfId="2607" xr:uid="{00000000-0005-0000-0000-0000710B0000}"/>
    <cellStyle name="Percent 79" xfId="1199" xr:uid="{00000000-0005-0000-0000-0000720B0000}"/>
    <cellStyle name="Percent 79 2" xfId="1572" xr:uid="{00000000-0005-0000-0000-0000730B0000}"/>
    <cellStyle name="Percent 79 3" xfId="2608" xr:uid="{00000000-0005-0000-0000-0000740B0000}"/>
    <cellStyle name="Percent 8" xfId="243" xr:uid="{00000000-0005-0000-0000-0000750B0000}"/>
    <cellStyle name="Percent 8 2" xfId="667" xr:uid="{00000000-0005-0000-0000-0000760B0000}"/>
    <cellStyle name="Percent 8 2 2" xfId="679" xr:uid="{00000000-0005-0000-0000-0000770B0000}"/>
    <cellStyle name="Percent 8 2 3" xfId="905" xr:uid="{00000000-0005-0000-0000-0000780B0000}"/>
    <cellStyle name="Percent 8 2 3 2" xfId="1574" xr:uid="{00000000-0005-0000-0000-0000790B0000}"/>
    <cellStyle name="Percent 8 2 3 2 2" xfId="2866" xr:uid="{00000000-0005-0000-0000-00007A0B0000}"/>
    <cellStyle name="Percent 8 2 3 3" xfId="2068" xr:uid="{00000000-0005-0000-0000-00007B0B0000}"/>
    <cellStyle name="Percent 8 2 3 4" xfId="1573" xr:uid="{00000000-0005-0000-0000-00007C0B0000}"/>
    <cellStyle name="Percent 8 2 3 5" xfId="3013" xr:uid="{00000000-0005-0000-0000-00007D0B0000}"/>
    <cellStyle name="Percent 8 2 4" xfId="1000" xr:uid="{00000000-0005-0000-0000-00007E0B0000}"/>
    <cellStyle name="Percent 8 2 4 2" xfId="1576" xr:uid="{00000000-0005-0000-0000-00007F0B0000}"/>
    <cellStyle name="Percent 8 2 4 2 2" xfId="2867" xr:uid="{00000000-0005-0000-0000-0000800B0000}"/>
    <cellStyle name="Percent 8 2 4 3" xfId="2069" xr:uid="{00000000-0005-0000-0000-0000810B0000}"/>
    <cellStyle name="Percent 8 2 4 4" xfId="1575" xr:uid="{00000000-0005-0000-0000-0000820B0000}"/>
    <cellStyle name="Percent 8 2 4 5" xfId="3014" xr:uid="{00000000-0005-0000-0000-0000830B0000}"/>
    <cellStyle name="Percent 8 2 5" xfId="1577" xr:uid="{00000000-0005-0000-0000-0000840B0000}"/>
    <cellStyle name="Percent 8 2 5 2" xfId="2868" xr:uid="{00000000-0005-0000-0000-0000850B0000}"/>
    <cellStyle name="Percent 8 3" xfId="845" xr:uid="{00000000-0005-0000-0000-0000860B0000}"/>
    <cellStyle name="Percent 8 3 2" xfId="1579" xr:uid="{00000000-0005-0000-0000-0000870B0000}"/>
    <cellStyle name="Percent 8 3 2 2" xfId="2869" xr:uid="{00000000-0005-0000-0000-0000880B0000}"/>
    <cellStyle name="Percent 8 3 3" xfId="2070" xr:uid="{00000000-0005-0000-0000-0000890B0000}"/>
    <cellStyle name="Percent 8 3 4" xfId="1578" xr:uid="{00000000-0005-0000-0000-00008A0B0000}"/>
    <cellStyle name="Percent 8 3 5" xfId="3015" xr:uid="{00000000-0005-0000-0000-00008B0B0000}"/>
    <cellStyle name="Percent 8 4" xfId="3012" xr:uid="{00000000-0005-0000-0000-00008C0B0000}"/>
    <cellStyle name="Percent 80" xfId="1201" xr:uid="{00000000-0005-0000-0000-00008D0B0000}"/>
    <cellStyle name="Percent 80 2" xfId="1580" xr:uid="{00000000-0005-0000-0000-00008E0B0000}"/>
    <cellStyle name="Percent 80 3" xfId="2610" xr:uid="{00000000-0005-0000-0000-00008F0B0000}"/>
    <cellStyle name="Percent 81" xfId="1204" xr:uid="{00000000-0005-0000-0000-0000900B0000}"/>
    <cellStyle name="Percent 81 2" xfId="1581" xr:uid="{00000000-0005-0000-0000-0000910B0000}"/>
    <cellStyle name="Percent 81 3" xfId="2613" xr:uid="{00000000-0005-0000-0000-0000920B0000}"/>
    <cellStyle name="Percent 82" xfId="1207" xr:uid="{00000000-0005-0000-0000-0000930B0000}"/>
    <cellStyle name="Percent 82 2" xfId="1582" xr:uid="{00000000-0005-0000-0000-0000940B0000}"/>
    <cellStyle name="Percent 82 3" xfId="2616" xr:uid="{00000000-0005-0000-0000-0000950B0000}"/>
    <cellStyle name="Percent 83" xfId="1206" xr:uid="{00000000-0005-0000-0000-0000960B0000}"/>
    <cellStyle name="Percent 83 2" xfId="1583" xr:uid="{00000000-0005-0000-0000-0000970B0000}"/>
    <cellStyle name="Percent 83 3" xfId="2615" xr:uid="{00000000-0005-0000-0000-0000980B0000}"/>
    <cellStyle name="Percent 84" xfId="1208" xr:uid="{00000000-0005-0000-0000-0000990B0000}"/>
    <cellStyle name="Percent 84 2" xfId="1584" xr:uid="{00000000-0005-0000-0000-00009A0B0000}"/>
    <cellStyle name="Percent 84 3" xfId="2617" xr:uid="{00000000-0005-0000-0000-00009B0B0000}"/>
    <cellStyle name="Percent 85" xfId="1585" xr:uid="{00000000-0005-0000-0000-00009C0B0000}"/>
    <cellStyle name="Percent 86" xfId="1586" xr:uid="{00000000-0005-0000-0000-00009D0B0000}"/>
    <cellStyle name="Percent 87" xfId="1587" xr:uid="{00000000-0005-0000-0000-00009E0B0000}"/>
    <cellStyle name="Percent 88" xfId="1588" xr:uid="{00000000-0005-0000-0000-00009F0B0000}"/>
    <cellStyle name="Percent 89" xfId="1589" xr:uid="{00000000-0005-0000-0000-0000A00B0000}"/>
    <cellStyle name="Percent 9" xfId="242" xr:uid="{00000000-0005-0000-0000-0000A10B0000}"/>
    <cellStyle name="Percent 9 2" xfId="668" xr:uid="{00000000-0005-0000-0000-0000A20B0000}"/>
    <cellStyle name="Percent 9 2 2" xfId="680" xr:uid="{00000000-0005-0000-0000-0000A30B0000}"/>
    <cellStyle name="Percent 9 2 3" xfId="906" xr:uid="{00000000-0005-0000-0000-0000A40B0000}"/>
    <cellStyle name="Percent 9 2 3 2" xfId="1591" xr:uid="{00000000-0005-0000-0000-0000A50B0000}"/>
    <cellStyle name="Percent 9 2 3 2 2" xfId="2870" xr:uid="{00000000-0005-0000-0000-0000A60B0000}"/>
    <cellStyle name="Percent 9 2 3 3" xfId="2071" xr:uid="{00000000-0005-0000-0000-0000A70B0000}"/>
    <cellStyle name="Percent 9 2 3 4" xfId="1590" xr:uid="{00000000-0005-0000-0000-0000A80B0000}"/>
    <cellStyle name="Percent 9 2 3 5" xfId="3017" xr:uid="{00000000-0005-0000-0000-0000A90B0000}"/>
    <cellStyle name="Percent 9 2 4" xfId="1001" xr:uid="{00000000-0005-0000-0000-0000AA0B0000}"/>
    <cellStyle name="Percent 9 2 4 2" xfId="1593" xr:uid="{00000000-0005-0000-0000-0000AB0B0000}"/>
    <cellStyle name="Percent 9 2 4 2 2" xfId="2871" xr:uid="{00000000-0005-0000-0000-0000AC0B0000}"/>
    <cellStyle name="Percent 9 2 4 3" xfId="2072" xr:uid="{00000000-0005-0000-0000-0000AD0B0000}"/>
    <cellStyle name="Percent 9 2 4 4" xfId="1592" xr:uid="{00000000-0005-0000-0000-0000AE0B0000}"/>
    <cellStyle name="Percent 9 2 4 5" xfId="3018" xr:uid="{00000000-0005-0000-0000-0000AF0B0000}"/>
    <cellStyle name="Percent 9 2 5" xfId="1594" xr:uid="{00000000-0005-0000-0000-0000B00B0000}"/>
    <cellStyle name="Percent 9 2 5 2" xfId="2872" xr:uid="{00000000-0005-0000-0000-0000B10B0000}"/>
    <cellStyle name="Percent 9 3" xfId="846" xr:uid="{00000000-0005-0000-0000-0000B20B0000}"/>
    <cellStyle name="Percent 9 3 2" xfId="1596" xr:uid="{00000000-0005-0000-0000-0000B30B0000}"/>
    <cellStyle name="Percent 9 3 2 2" xfId="2873" xr:uid="{00000000-0005-0000-0000-0000B40B0000}"/>
    <cellStyle name="Percent 9 3 3" xfId="2073" xr:uid="{00000000-0005-0000-0000-0000B50B0000}"/>
    <cellStyle name="Percent 9 3 4" xfId="1595" xr:uid="{00000000-0005-0000-0000-0000B60B0000}"/>
    <cellStyle name="Percent 9 3 5" xfId="3019" xr:uid="{00000000-0005-0000-0000-0000B70B0000}"/>
    <cellStyle name="Percent 9 4" xfId="3016" xr:uid="{00000000-0005-0000-0000-0000B80B0000}"/>
    <cellStyle name="Percent 90" xfId="1597" xr:uid="{00000000-0005-0000-0000-0000B90B0000}"/>
    <cellStyle name="Percent 91" xfId="1598" xr:uid="{00000000-0005-0000-0000-0000BA0B0000}"/>
    <cellStyle name="Percent 92" xfId="1599" xr:uid="{00000000-0005-0000-0000-0000BB0B0000}"/>
    <cellStyle name="Percent 93" xfId="1600" xr:uid="{00000000-0005-0000-0000-0000BC0B0000}"/>
    <cellStyle name="Percent 94" xfId="1601" xr:uid="{00000000-0005-0000-0000-0000BD0B0000}"/>
    <cellStyle name="Percent 95" xfId="1602" xr:uid="{00000000-0005-0000-0000-0000BE0B0000}"/>
    <cellStyle name="Percent 96" xfId="1603" xr:uid="{00000000-0005-0000-0000-0000BF0B0000}"/>
    <cellStyle name="Percent 97" xfId="1604" xr:uid="{00000000-0005-0000-0000-0000C00B0000}"/>
    <cellStyle name="Percent 98" xfId="1605" xr:uid="{00000000-0005-0000-0000-0000C10B0000}"/>
    <cellStyle name="Percent 99" xfId="1606" xr:uid="{00000000-0005-0000-0000-0000C20B0000}"/>
    <cellStyle name="percentage difference one decimal" xfId="153" xr:uid="{00000000-0005-0000-0000-0000C30B0000}"/>
    <cellStyle name="percentage difference zero decimal" xfId="154" xr:uid="{00000000-0005-0000-0000-0000C40B0000}"/>
    <cellStyle name="Presentation" xfId="155" xr:uid="{00000000-0005-0000-0000-0000C50B0000}"/>
    <cellStyle name="Separador de milhares 4 2" xfId="208" xr:uid="{00000000-0005-0000-0000-0000C60B0000}"/>
    <cellStyle name="Text" xfId="156" xr:uid="{00000000-0005-0000-0000-0000C70B0000}"/>
    <cellStyle name="Text 2" xfId="157" xr:uid="{00000000-0005-0000-0000-0000C80B0000}"/>
    <cellStyle name="Text 3" xfId="158" xr:uid="{00000000-0005-0000-0000-0000C90B0000}"/>
    <cellStyle name="Text 4" xfId="159" xr:uid="{00000000-0005-0000-0000-0000CA0B0000}"/>
    <cellStyle name="Text 5" xfId="160" xr:uid="{00000000-0005-0000-0000-0000CB0B0000}"/>
    <cellStyle name="Title" xfId="561" builtinId="15" customBuiltin="1"/>
    <cellStyle name="Title 2" xfId="479" xr:uid="{00000000-0005-0000-0000-0000CD0B0000}"/>
    <cellStyle name="Title 3" xfId="2520" xr:uid="{00000000-0005-0000-0000-0000CE0B0000}"/>
    <cellStyle name="Total" xfId="576" builtinId="25" customBuiltin="1"/>
    <cellStyle name="Total 2" xfId="480" xr:uid="{00000000-0005-0000-0000-0000D00B0000}"/>
    <cellStyle name="Warning Text" xfId="574" builtinId="11" customBuiltin="1"/>
    <cellStyle name="Warning Text 2" xfId="481" xr:uid="{00000000-0005-0000-0000-0000D20B0000}"/>
    <cellStyle name="ДАТА" xfId="161" xr:uid="{00000000-0005-0000-0000-0000D30B0000}"/>
    <cellStyle name="ДЕНЕЖНЫЙ_BOPENGC" xfId="162" xr:uid="{00000000-0005-0000-0000-0000D40B0000}"/>
    <cellStyle name="ЗАГОЛОВОК1" xfId="163" xr:uid="{00000000-0005-0000-0000-0000D50B0000}"/>
    <cellStyle name="ЗАГОЛОВОК2" xfId="164" xr:uid="{00000000-0005-0000-0000-0000D60B0000}"/>
    <cellStyle name="ИТОГОВЫЙ" xfId="165" xr:uid="{00000000-0005-0000-0000-0000D70B0000}"/>
    <cellStyle name="Обычный_BOPENGC" xfId="166" xr:uid="{00000000-0005-0000-0000-0000D80B0000}"/>
    <cellStyle name="ПРОЦЕНТНЫЙ_BOPENGC" xfId="167" xr:uid="{00000000-0005-0000-0000-0000D90B0000}"/>
    <cellStyle name="ТЕКСТ" xfId="168" xr:uid="{00000000-0005-0000-0000-0000DA0B0000}"/>
    <cellStyle name="ФИКСИРОВАННЫЙ" xfId="169" xr:uid="{00000000-0005-0000-0000-0000DB0B0000}"/>
    <cellStyle name="ФИНАНСОВЫЙ_BOPENGC" xfId="170" xr:uid="{00000000-0005-0000-0000-0000DC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zoomScale="110" zoomScaleNormal="110" workbookViewId="0">
      <pane xSplit="6" ySplit="5" topLeftCell="G12" activePane="bottomRight" state="frozen"/>
      <selection pane="topRight" activeCell="G1" sqref="G1"/>
      <selection pane="bottomLeft" activeCell="A6" sqref="A6"/>
      <selection pane="bottomRight" activeCell="L48" sqref="L48"/>
    </sheetView>
  </sheetViews>
  <sheetFormatPr defaultRowHeight="14.5" x14ac:dyDescent="0.35"/>
  <cols>
    <col min="1" max="4" width="2.6328125" customWidth="1"/>
    <col min="5" max="5" width="23.08984375" customWidth="1"/>
    <col min="6" max="6" width="4.54296875" customWidth="1"/>
    <col min="7" max="11" width="10.6328125" customWidth="1"/>
    <col min="12" max="12" width="10.54296875" customWidth="1"/>
    <col min="13" max="18" width="10.6328125" customWidth="1"/>
    <col min="19" max="19" width="3.90625" customWidth="1"/>
    <col min="20" max="20" width="18.6328125" style="24" bestFit="1" customWidth="1"/>
    <col min="21" max="21" width="3.6328125" customWidth="1"/>
    <col min="22" max="25" width="11" customWidth="1"/>
    <col min="26" max="26" width="2.36328125" customWidth="1"/>
    <col min="27" max="27" width="12.08984375" customWidth="1"/>
    <col min="28" max="28" width="3.90625" customWidth="1"/>
    <col min="29" max="32" width="11" customWidth="1"/>
  </cols>
  <sheetData>
    <row r="1" spans="1:35" ht="17.5" x14ac:dyDescent="0.35">
      <c r="A1" s="1" t="s">
        <v>80</v>
      </c>
      <c r="B1" s="2"/>
      <c r="C1" s="1"/>
      <c r="D1" s="2"/>
      <c r="E1" s="1"/>
      <c r="F1" s="2"/>
      <c r="G1" s="2"/>
      <c r="H1" s="2"/>
      <c r="I1" s="2"/>
      <c r="J1" s="2"/>
      <c r="K1" s="2"/>
      <c r="L1" s="72"/>
      <c r="S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17.5" x14ac:dyDescent="0.35">
      <c r="A2" s="1"/>
      <c r="B2" s="3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P2" s="33"/>
      <c r="Q2" s="31"/>
      <c r="R2" s="32"/>
      <c r="S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17.5" x14ac:dyDescent="0.35">
      <c r="A3" s="2"/>
      <c r="B3" s="2"/>
      <c r="C3" s="3"/>
      <c r="D3" s="2"/>
      <c r="E3" s="2"/>
      <c r="F3" s="2"/>
      <c r="G3" s="3"/>
      <c r="H3" s="1"/>
      <c r="I3" s="1"/>
      <c r="J3" s="1"/>
      <c r="K3" s="1"/>
      <c r="L3" s="1"/>
      <c r="P3" s="34"/>
      <c r="Q3" s="35"/>
      <c r="R3" s="23"/>
      <c r="S3" s="16"/>
      <c r="T3" s="3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17.5" x14ac:dyDescent="0.35">
      <c r="A4" s="2"/>
      <c r="B4" s="2"/>
      <c r="C4" s="3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6"/>
      <c r="T4" s="25" t="s">
        <v>79</v>
      </c>
      <c r="U4" s="16"/>
      <c r="V4" s="65"/>
      <c r="W4" s="65"/>
      <c r="X4" s="65"/>
      <c r="Y4" s="65"/>
      <c r="Z4" s="16"/>
      <c r="AB4" s="16"/>
      <c r="AC4" s="65"/>
      <c r="AD4" s="65"/>
      <c r="AE4" s="65"/>
      <c r="AF4" s="65"/>
      <c r="AG4" s="16"/>
      <c r="AH4" s="16"/>
      <c r="AI4" s="16"/>
    </row>
    <row r="5" spans="1:35" x14ac:dyDescent="0.35">
      <c r="A5" s="5"/>
      <c r="B5" s="5"/>
      <c r="C5" s="5"/>
      <c r="D5" s="5"/>
      <c r="E5" s="6"/>
      <c r="F5" s="6"/>
      <c r="G5" s="7" t="s">
        <v>1</v>
      </c>
      <c r="H5" s="7" t="s">
        <v>2</v>
      </c>
      <c r="I5" s="8" t="s">
        <v>3</v>
      </c>
      <c r="J5" s="8" t="s">
        <v>4</v>
      </c>
      <c r="K5" s="8" t="s">
        <v>5</v>
      </c>
      <c r="L5" s="8" t="s">
        <v>81</v>
      </c>
      <c r="M5" s="8" t="s">
        <v>6</v>
      </c>
      <c r="N5" s="7" t="s">
        <v>7</v>
      </c>
      <c r="O5" s="7" t="s">
        <v>8</v>
      </c>
      <c r="P5" s="8" t="s">
        <v>9</v>
      </c>
      <c r="Q5" s="8" t="s">
        <v>10</v>
      </c>
      <c r="R5" s="8" t="s">
        <v>11</v>
      </c>
      <c r="S5" s="16"/>
      <c r="T5" s="37" t="s">
        <v>78</v>
      </c>
      <c r="U5" s="16"/>
      <c r="V5" s="8" t="s">
        <v>66</v>
      </c>
      <c r="W5" s="8" t="s">
        <v>67</v>
      </c>
      <c r="X5" s="8" t="s">
        <v>68</v>
      </c>
      <c r="Y5" s="8" t="s">
        <v>69</v>
      </c>
      <c r="Z5" s="16"/>
      <c r="AA5" s="66" t="str">
        <f>T5</f>
        <v>FY 2023/24</v>
      </c>
      <c r="AB5" s="16"/>
      <c r="AC5" s="8" t="s">
        <v>70</v>
      </c>
      <c r="AD5" s="8" t="s">
        <v>71</v>
      </c>
      <c r="AE5" s="8" t="s">
        <v>72</v>
      </c>
      <c r="AF5" s="8" t="s">
        <v>73</v>
      </c>
      <c r="AG5" s="16"/>
      <c r="AH5" s="16"/>
      <c r="AI5" s="16"/>
    </row>
    <row r="6" spans="1:35" x14ac:dyDescent="0.35">
      <c r="A6" s="6"/>
      <c r="B6" s="6"/>
      <c r="C6" s="6"/>
      <c r="D6" s="6"/>
      <c r="E6" s="6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6"/>
      <c r="T6" s="10"/>
      <c r="U6" s="16"/>
      <c r="V6" s="16"/>
      <c r="W6" s="16"/>
      <c r="X6" s="16"/>
      <c r="Y6" s="16"/>
      <c r="Z6" s="16"/>
      <c r="AA6" s="10"/>
      <c r="AB6" s="16"/>
      <c r="AC6" s="16"/>
      <c r="AD6" s="16"/>
      <c r="AE6" s="16"/>
      <c r="AF6" s="16"/>
      <c r="AG6" s="16"/>
      <c r="AH6" s="16"/>
      <c r="AI6" s="16"/>
    </row>
    <row r="7" spans="1:35" x14ac:dyDescent="0.35">
      <c r="A7" s="11" t="s">
        <v>12</v>
      </c>
      <c r="B7" s="12"/>
      <c r="C7" s="12"/>
      <c r="D7" s="12"/>
      <c r="E7" s="12"/>
      <c r="F7" s="12"/>
      <c r="G7" s="28">
        <f>SUM(G8:G12)</f>
        <v>113431.03551272764</v>
      </c>
      <c r="H7" s="28">
        <f t="shared" ref="H7:O7" si="0">SUM(H8:H12)</f>
        <v>79051.856868336079</v>
      </c>
      <c r="I7" s="28">
        <f t="shared" si="0"/>
        <v>101006.30378888181</v>
      </c>
      <c r="J7" s="28">
        <f t="shared" si="0"/>
        <v>89125.49259507122</v>
      </c>
      <c r="K7" s="28">
        <f t="shared" si="0"/>
        <v>77261.479160817675</v>
      </c>
      <c r="L7" s="28">
        <f t="shared" si="0"/>
        <v>97111.179405143776</v>
      </c>
      <c r="M7" s="28">
        <f t="shared" si="0"/>
        <v>70119.988383268384</v>
      </c>
      <c r="N7" s="28">
        <f t="shared" si="0"/>
        <v>76715.015706741236</v>
      </c>
      <c r="O7" s="28">
        <f t="shared" si="0"/>
        <v>99188.137986432237</v>
      </c>
      <c r="P7" s="28">
        <f t="shared" ref="P7:R7" si="1">SUM(P8:P12)</f>
        <v>81853.355274716581</v>
      </c>
      <c r="Q7" s="28">
        <f t="shared" si="1"/>
        <v>72605.488597204589</v>
      </c>
      <c r="R7" s="28">
        <f t="shared" si="1"/>
        <v>126062.97742575561</v>
      </c>
      <c r="S7" s="17"/>
      <c r="T7" s="28">
        <f>SUM(T8:T12)</f>
        <v>1083532.3107050967</v>
      </c>
      <c r="U7" s="16"/>
      <c r="V7" s="28">
        <f t="shared" ref="V7:Y7" si="2">SUM(V8:V12)</f>
        <v>293489.19616994553</v>
      </c>
      <c r="W7" s="28">
        <f t="shared" si="2"/>
        <v>263498.15116103267</v>
      </c>
      <c r="X7" s="28">
        <f t="shared" si="2"/>
        <v>246023.14207644184</v>
      </c>
      <c r="Y7" s="28">
        <f t="shared" si="2"/>
        <v>280521.82129767683</v>
      </c>
      <c r="Z7" s="16"/>
      <c r="AA7" s="28">
        <f>SUM(AA8:AA12)</f>
        <v>1083532.3107050969</v>
      </c>
      <c r="AB7" s="16"/>
      <c r="AC7" s="28">
        <f t="shared" ref="AC7" si="3">SUM(AC8:AC12)</f>
        <v>293489.19616994553</v>
      </c>
      <c r="AD7" s="28">
        <f t="shared" ref="AD7" si="4">SUM(AD8:AD12)</f>
        <v>556987.34733097826</v>
      </c>
      <c r="AE7" s="28">
        <f t="shared" ref="AE7" si="5">SUM(AE8:AE12)</f>
        <v>803010.48940742016</v>
      </c>
      <c r="AF7" s="28">
        <f t="shared" ref="AF7" si="6">SUM(AF8:AF12)</f>
        <v>1083532.3107050969</v>
      </c>
      <c r="AG7" s="16"/>
      <c r="AH7" s="16"/>
    </row>
    <row r="8" spans="1:35" x14ac:dyDescent="0.35">
      <c r="A8" s="12"/>
      <c r="B8" s="12" t="s">
        <v>13</v>
      </c>
      <c r="C8" s="12"/>
      <c r="D8" s="12"/>
      <c r="E8" s="12"/>
      <c r="F8" s="12"/>
      <c r="G8" s="13">
        <f>'Revenue Details'!G10</f>
        <v>109930.50660329527</v>
      </c>
      <c r="H8" s="13">
        <f>'Revenue Details'!H10</f>
        <v>75815.074031139433</v>
      </c>
      <c r="I8" s="13">
        <f>'Revenue Details'!I10</f>
        <v>86942.862672638119</v>
      </c>
      <c r="J8" s="13">
        <f>'Revenue Details'!J10</f>
        <v>77730.614508896717</v>
      </c>
      <c r="K8" s="13">
        <f>'Revenue Details'!K10</f>
        <v>72765.34368814333</v>
      </c>
      <c r="L8" s="13">
        <f>'Revenue Details'!L10</f>
        <v>90444.022676228575</v>
      </c>
      <c r="M8" s="13">
        <f>'Revenue Details'!M10</f>
        <v>66167.072666787513</v>
      </c>
      <c r="N8" s="13">
        <f>'Revenue Details'!N10</f>
        <v>72029.065360940906</v>
      </c>
      <c r="O8" s="13">
        <f>'Revenue Details'!O10</f>
        <v>91012.59595691548</v>
      </c>
      <c r="P8" s="13">
        <f>'Revenue Details'!P10</f>
        <v>75790.320702966914</v>
      </c>
      <c r="Q8" s="13">
        <f>'Revenue Details'!Q10</f>
        <v>66744.356629415532</v>
      </c>
      <c r="R8" s="13">
        <f>'Revenue Details'!R10</f>
        <v>93996.475207727883</v>
      </c>
      <c r="S8" s="17"/>
      <c r="T8" s="10">
        <f>SUM(G8:Q8)+R8</f>
        <v>979368.31070509565</v>
      </c>
      <c r="U8" s="16"/>
      <c r="V8" s="17">
        <f>SUM(G8:I8)</f>
        <v>272688.44330707286</v>
      </c>
      <c r="W8" s="17">
        <f>SUM(J8:L8)</f>
        <v>240939.98087326862</v>
      </c>
      <c r="X8" s="17">
        <f>SUM(M8:O8)</f>
        <v>229208.73398464388</v>
      </c>
      <c r="Y8" s="17">
        <f>SUM(P8:R8)</f>
        <v>236531.15254011034</v>
      </c>
      <c r="Z8" s="16"/>
      <c r="AA8" s="10">
        <f>SUM(V8:Y8)</f>
        <v>979368.31070509576</v>
      </c>
      <c r="AB8" s="16"/>
      <c r="AC8" s="17">
        <f>V8</f>
        <v>272688.44330707286</v>
      </c>
      <c r="AD8" s="17">
        <f t="shared" ref="AD8:AF12" si="7">AC8+W8</f>
        <v>513628.42418034148</v>
      </c>
      <c r="AE8" s="17">
        <f t="shared" si="7"/>
        <v>742837.15816498536</v>
      </c>
      <c r="AF8" s="17">
        <f t="shared" si="7"/>
        <v>979368.31070509576</v>
      </c>
      <c r="AG8" s="16"/>
      <c r="AH8" s="16"/>
    </row>
    <row r="9" spans="1:35" x14ac:dyDescent="0.35">
      <c r="A9" s="12"/>
      <c r="B9" s="12" t="s">
        <v>14</v>
      </c>
      <c r="C9" s="12"/>
      <c r="D9" s="12"/>
      <c r="E9" s="12"/>
      <c r="F9" s="12"/>
      <c r="G9" s="13">
        <f>'Revenue Details'!G43</f>
        <v>3104.2082268734598</v>
      </c>
      <c r="H9" s="13">
        <f>'Revenue Details'!H43</f>
        <v>3236.7828371966393</v>
      </c>
      <c r="I9" s="13">
        <f>'Revenue Details'!I43</f>
        <v>13927.20682022714</v>
      </c>
      <c r="J9" s="13">
        <f>'Revenue Details'!J43</f>
        <v>11152.392277283599</v>
      </c>
      <c r="K9" s="13">
        <f>'Revenue Details'!K43</f>
        <v>4144.8182578761753</v>
      </c>
      <c r="L9" s="13">
        <f>'Revenue Details'!L43</f>
        <v>6667.1567289151999</v>
      </c>
      <c r="M9" s="13">
        <f>'Revenue Details'!M43</f>
        <v>3835.3232216651641</v>
      </c>
      <c r="N9" s="13">
        <f>'Revenue Details'!N43</f>
        <v>4519.6524498459294</v>
      </c>
      <c r="O9" s="13">
        <f>'Revenue Details'!O43</f>
        <v>6864.8647204733998</v>
      </c>
      <c r="P9" s="13">
        <f>'Revenue Details'!P43</f>
        <v>5885.6709424070104</v>
      </c>
      <c r="Q9" s="13">
        <f>'Revenue Details'!Q43</f>
        <v>5621.31468085098</v>
      </c>
      <c r="R9" s="13">
        <f>'Revenue Details'!R43</f>
        <v>28378.608836386444</v>
      </c>
      <c r="S9" s="17"/>
      <c r="T9" s="10">
        <f>SUM(G9:Q9)+R9</f>
        <v>97338.00000000115</v>
      </c>
      <c r="U9" s="16"/>
      <c r="V9" s="17">
        <f>SUM(G9:I9)</f>
        <v>20268.197884297238</v>
      </c>
      <c r="W9" s="17">
        <f>SUM(J9:L9)</f>
        <v>21964.367264074976</v>
      </c>
      <c r="X9" s="17">
        <f>SUM(M9:O9)</f>
        <v>15219.840391984493</v>
      </c>
      <c r="Y9" s="17">
        <f>SUM(P9:R9)</f>
        <v>39885.594459644431</v>
      </c>
      <c r="Z9" s="16"/>
      <c r="AA9" s="10">
        <f>SUM(V9:Y9)</f>
        <v>97338.000000001135</v>
      </c>
      <c r="AB9" s="16"/>
      <c r="AC9" s="17">
        <f t="shared" ref="AC9:AC12" si="8">V9</f>
        <v>20268.197884297238</v>
      </c>
      <c r="AD9" s="17">
        <f t="shared" si="7"/>
        <v>42232.565148372218</v>
      </c>
      <c r="AE9" s="17">
        <f t="shared" si="7"/>
        <v>57452.405540356711</v>
      </c>
      <c r="AF9" s="17">
        <f t="shared" si="7"/>
        <v>97338.000000001135</v>
      </c>
      <c r="AG9" s="16"/>
      <c r="AH9" s="16"/>
    </row>
    <row r="10" spans="1:35" x14ac:dyDescent="0.35">
      <c r="A10" s="14"/>
      <c r="B10" s="14" t="s">
        <v>15</v>
      </c>
      <c r="C10" s="14"/>
      <c r="D10" s="12"/>
      <c r="E10" s="12"/>
      <c r="F10" s="12"/>
      <c r="G10" s="13">
        <f>'Revenue Details'!G45</f>
        <v>0</v>
      </c>
      <c r="H10" s="13">
        <f>'Revenue Details'!H45</f>
        <v>0</v>
      </c>
      <c r="I10" s="13">
        <f>'Revenue Details'!I45</f>
        <v>0</v>
      </c>
      <c r="J10" s="13">
        <f>'Revenue Details'!J45</f>
        <v>0</v>
      </c>
      <c r="K10" s="13">
        <f>'Revenue Details'!K45</f>
        <v>0</v>
      </c>
      <c r="L10" s="13">
        <f>'Revenue Details'!L45</f>
        <v>0</v>
      </c>
      <c r="M10" s="13">
        <f>'Revenue Details'!M45</f>
        <v>0</v>
      </c>
      <c r="N10" s="13">
        <f>'Revenue Details'!N45</f>
        <v>0</v>
      </c>
      <c r="O10" s="13">
        <f>'Revenue Details'!O45</f>
        <v>152.3854118213942</v>
      </c>
      <c r="P10" s="13">
        <f>'Revenue Details'!P45</f>
        <v>150.12410293757881</v>
      </c>
      <c r="Q10" s="13">
        <f>'Revenue Details'!Q45</f>
        <v>0</v>
      </c>
      <c r="R10" s="13">
        <f>'Revenue Details'!R45</f>
        <v>1189.0904852410267</v>
      </c>
      <c r="S10" s="17"/>
      <c r="T10" s="10">
        <f>SUM(G10:Q10)+R10</f>
        <v>1491.5999999999997</v>
      </c>
      <c r="U10" s="16"/>
      <c r="V10" s="17">
        <f>SUM(G10:I10)</f>
        <v>0</v>
      </c>
      <c r="W10" s="17">
        <f>SUM(J10:L10)</f>
        <v>0</v>
      </c>
      <c r="X10" s="17">
        <f>SUM(M10:O10)</f>
        <v>152.3854118213942</v>
      </c>
      <c r="Y10" s="17">
        <f>SUM(P10:R10)</f>
        <v>1339.2145881786055</v>
      </c>
      <c r="Z10" s="16"/>
      <c r="AA10" s="10">
        <f t="shared" ref="AA10:AA12" si="9">SUM(V10:Y10)</f>
        <v>1491.5999999999997</v>
      </c>
      <c r="AB10" s="16"/>
      <c r="AC10" s="17">
        <f t="shared" si="8"/>
        <v>0</v>
      </c>
      <c r="AD10" s="17">
        <f t="shared" si="7"/>
        <v>0</v>
      </c>
      <c r="AE10" s="17">
        <f t="shared" si="7"/>
        <v>152.3854118213942</v>
      </c>
      <c r="AF10" s="17">
        <f t="shared" si="7"/>
        <v>1491.5999999999997</v>
      </c>
      <c r="AG10" s="16"/>
      <c r="AH10" s="16"/>
    </row>
    <row r="11" spans="1:35" x14ac:dyDescent="0.35">
      <c r="A11" s="12"/>
      <c r="B11" s="12" t="s">
        <v>16</v>
      </c>
      <c r="C11" s="12"/>
      <c r="D11" s="12"/>
      <c r="E11" s="12"/>
      <c r="F11" s="12"/>
      <c r="G11" s="13">
        <f>'Revenue Details'!G47</f>
        <v>0</v>
      </c>
      <c r="H11" s="13">
        <f>'Revenue Details'!H47</f>
        <v>0</v>
      </c>
      <c r="I11" s="13">
        <f>'Revenue Details'!I47</f>
        <v>0</v>
      </c>
      <c r="J11" s="13">
        <f>'Revenue Details'!J47</f>
        <v>0</v>
      </c>
      <c r="K11" s="13">
        <f>'Revenue Details'!K47</f>
        <v>0</v>
      </c>
      <c r="L11" s="13">
        <f>'Revenue Details'!L47</f>
        <v>0</v>
      </c>
      <c r="M11" s="13">
        <f>'Revenue Details'!M47</f>
        <v>0</v>
      </c>
      <c r="N11" s="13">
        <f>'Revenue Details'!N47</f>
        <v>0</v>
      </c>
      <c r="O11" s="13">
        <f>'Revenue Details'!O47</f>
        <v>0</v>
      </c>
      <c r="P11" s="13">
        <f>'Revenue Details'!P47</f>
        <v>0</v>
      </c>
      <c r="Q11" s="13">
        <f>'Revenue Details'!Q47</f>
        <v>0</v>
      </c>
      <c r="R11" s="13">
        <f>'Revenue Details'!R47</f>
        <v>0</v>
      </c>
      <c r="S11" s="17"/>
      <c r="T11" s="10">
        <f>SUM(G11:Q11)+R11</f>
        <v>0</v>
      </c>
      <c r="U11" s="16"/>
      <c r="V11" s="17">
        <f>SUM(G11:I11)</f>
        <v>0</v>
      </c>
      <c r="W11" s="17">
        <f>SUM(J11:L11)</f>
        <v>0</v>
      </c>
      <c r="X11" s="17">
        <f>SUM(M11:O11)</f>
        <v>0</v>
      </c>
      <c r="Y11" s="17">
        <f>SUM(P11:R11)</f>
        <v>0</v>
      </c>
      <c r="Z11" s="16"/>
      <c r="AA11" s="10">
        <f t="shared" si="9"/>
        <v>0</v>
      </c>
      <c r="AB11" s="16"/>
      <c r="AC11" s="17">
        <f t="shared" si="8"/>
        <v>0</v>
      </c>
      <c r="AD11" s="17">
        <f t="shared" si="7"/>
        <v>0</v>
      </c>
      <c r="AE11" s="17">
        <f t="shared" si="7"/>
        <v>0</v>
      </c>
      <c r="AF11" s="17">
        <f t="shared" si="7"/>
        <v>0</v>
      </c>
      <c r="AG11" s="16"/>
      <c r="AH11" s="16"/>
    </row>
    <row r="12" spans="1:35" x14ac:dyDescent="0.35">
      <c r="A12" s="14"/>
      <c r="B12" s="14" t="s">
        <v>17</v>
      </c>
      <c r="C12" s="14"/>
      <c r="D12" s="12"/>
      <c r="E12" s="12"/>
      <c r="F12" s="12"/>
      <c r="G12" s="13">
        <f>'Revenue Details'!G49</f>
        <v>396.32068255889857</v>
      </c>
      <c r="H12" s="13">
        <f>'Revenue Details'!H49</f>
        <v>0</v>
      </c>
      <c r="I12" s="13">
        <f>'Revenue Details'!I49</f>
        <v>136.23429601653575</v>
      </c>
      <c r="J12" s="13">
        <f>'Revenue Details'!J49</f>
        <v>242.48580889091585</v>
      </c>
      <c r="K12" s="13">
        <f>'Revenue Details'!K49</f>
        <v>351.31721479816446</v>
      </c>
      <c r="L12" s="13">
        <f>'Revenue Details'!L49</f>
        <v>0</v>
      </c>
      <c r="M12" s="13">
        <f>'Revenue Details'!M49</f>
        <v>117.59249481570212</v>
      </c>
      <c r="N12" s="13">
        <f>'Revenue Details'!N49</f>
        <v>166.29789595439888</v>
      </c>
      <c r="O12" s="13">
        <f>'Revenue Details'!O49</f>
        <v>1158.2918972219629</v>
      </c>
      <c r="P12" s="13">
        <f>'Revenue Details'!P49</f>
        <v>27.239526405077203</v>
      </c>
      <c r="Q12" s="13">
        <f>'Revenue Details'!Q49</f>
        <v>239.81728693808114</v>
      </c>
      <c r="R12" s="13">
        <f>'Revenue Details'!R49</f>
        <v>2498.8028964002624</v>
      </c>
      <c r="S12" s="17"/>
      <c r="T12" s="10">
        <f>SUM(G12:Q12)+R12</f>
        <v>5334.4</v>
      </c>
      <c r="U12" s="16"/>
      <c r="V12" s="17">
        <f>SUM(G12:I12)</f>
        <v>532.55497857543435</v>
      </c>
      <c r="W12" s="17">
        <f>SUM(J12:L12)</f>
        <v>593.80302368908031</v>
      </c>
      <c r="X12" s="17">
        <f>SUM(M12:O12)</f>
        <v>1442.1822879920639</v>
      </c>
      <c r="Y12" s="17">
        <f>SUM(P12:R12)</f>
        <v>2765.8597097434208</v>
      </c>
      <c r="Z12" s="16"/>
      <c r="AA12" s="10">
        <f t="shared" si="9"/>
        <v>5334.4</v>
      </c>
      <c r="AB12" s="16"/>
      <c r="AC12" s="17">
        <f t="shared" si="8"/>
        <v>532.55497857543435</v>
      </c>
      <c r="AD12" s="17">
        <f t="shared" si="7"/>
        <v>1126.3580022645147</v>
      </c>
      <c r="AE12" s="17">
        <f t="shared" si="7"/>
        <v>2568.5402902565784</v>
      </c>
      <c r="AF12" s="17">
        <f t="shared" si="7"/>
        <v>5334.4</v>
      </c>
      <c r="AG12" s="16"/>
      <c r="AH12" s="16"/>
    </row>
    <row r="13" spans="1:35" x14ac:dyDescent="0.35">
      <c r="A13" s="14"/>
      <c r="B13" s="12"/>
      <c r="C13" s="12"/>
      <c r="D13" s="12"/>
      <c r="E13" s="12"/>
      <c r="F13" s="12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7"/>
      <c r="T13" s="30"/>
      <c r="U13" s="16"/>
      <c r="V13" s="16"/>
      <c r="W13" s="16"/>
      <c r="X13" s="16"/>
      <c r="Y13" s="16"/>
      <c r="Z13" s="16"/>
      <c r="AA13" s="10"/>
      <c r="AB13" s="16"/>
      <c r="AC13" s="16"/>
      <c r="AD13" s="16"/>
      <c r="AE13" s="16"/>
      <c r="AF13" s="16"/>
      <c r="AG13" s="16"/>
      <c r="AH13" s="16"/>
    </row>
    <row r="14" spans="1:35" x14ac:dyDescent="0.35">
      <c r="A14" s="11" t="s">
        <v>18</v>
      </c>
      <c r="B14" s="12"/>
      <c r="C14" s="12"/>
      <c r="D14" s="12"/>
      <c r="E14" s="12"/>
      <c r="F14" s="12"/>
      <c r="G14" s="67">
        <f t="shared" ref="G14:O14" si="10">+G15+G24</f>
        <v>82519.316966513783</v>
      </c>
      <c r="H14" s="67">
        <f t="shared" si="10"/>
        <v>69066.123220908863</v>
      </c>
      <c r="I14" s="67">
        <f t="shared" si="10"/>
        <v>68276.97103860919</v>
      </c>
      <c r="J14" s="67">
        <f t="shared" si="10"/>
        <v>78160.107951280414</v>
      </c>
      <c r="K14" s="67">
        <f t="shared" si="10"/>
        <v>78128.43136497309</v>
      </c>
      <c r="L14" s="67">
        <f t="shared" si="10"/>
        <v>74189.324643285683</v>
      </c>
      <c r="M14" s="67">
        <f t="shared" si="10"/>
        <v>72950.852032974552</v>
      </c>
      <c r="N14" s="67">
        <f t="shared" si="10"/>
        <v>68462.13391995804</v>
      </c>
      <c r="O14" s="67">
        <f t="shared" si="10"/>
        <v>68240.83036371044</v>
      </c>
      <c r="P14" s="67">
        <f t="shared" ref="P14:R14" si="11">+P15+P24</f>
        <v>78998.164927221718</v>
      </c>
      <c r="Q14" s="67">
        <f t="shared" si="11"/>
        <v>71377.816802392234</v>
      </c>
      <c r="R14" s="67">
        <f t="shared" si="11"/>
        <v>75044.980098922519</v>
      </c>
      <c r="S14" s="17"/>
      <c r="T14" s="28">
        <f>+T15+T24</f>
        <v>885415.05333075055</v>
      </c>
      <c r="U14" s="16"/>
      <c r="V14" s="28">
        <f>+V15+V24</f>
        <v>219862.41122603181</v>
      </c>
      <c r="W14" s="28">
        <f>+W15+W24</f>
        <v>230477.86395953919</v>
      </c>
      <c r="X14" s="28">
        <f>+X15+X24</f>
        <v>209653.81631664309</v>
      </c>
      <c r="Y14" s="28">
        <f>+Y15+Y24</f>
        <v>225420.96182853647</v>
      </c>
      <c r="Z14" s="16"/>
      <c r="AA14" s="28">
        <f>+AA15+AA24</f>
        <v>885415.05333075055</v>
      </c>
      <c r="AB14" s="16"/>
      <c r="AC14" s="28">
        <f t="shared" ref="AC14" si="12">+AC15+AC24</f>
        <v>219862.41122603181</v>
      </c>
      <c r="AD14" s="28">
        <f t="shared" ref="AD14" si="13">+AD15+AD24</f>
        <v>450340.27518557099</v>
      </c>
      <c r="AE14" s="28">
        <f t="shared" ref="AE14" si="14">+AE15+AE24</f>
        <v>659994.09150221408</v>
      </c>
      <c r="AF14" s="28">
        <f t="shared" ref="AF14" si="15">+AF15+AF24</f>
        <v>885415.05333075055</v>
      </c>
      <c r="AG14" s="16"/>
      <c r="AH14" s="16"/>
    </row>
    <row r="15" spans="1:35" x14ac:dyDescent="0.35">
      <c r="A15" s="11"/>
      <c r="B15" s="11" t="s">
        <v>19</v>
      </c>
      <c r="C15" s="12"/>
      <c r="D15" s="12"/>
      <c r="E15" s="12"/>
      <c r="F15" s="12"/>
      <c r="G15" s="67">
        <f t="shared" ref="G15:R15" si="16">+G16+G17+G20</f>
        <v>75469.063966513786</v>
      </c>
      <c r="H15" s="67">
        <f t="shared" si="16"/>
        <v>64872.063020908856</v>
      </c>
      <c r="I15" s="67">
        <f t="shared" si="16"/>
        <v>63232.148838609188</v>
      </c>
      <c r="J15" s="67">
        <f t="shared" si="16"/>
        <v>72984.4479091057</v>
      </c>
      <c r="K15" s="67">
        <f t="shared" si="16"/>
        <v>72727.001252123708</v>
      </c>
      <c r="L15" s="67">
        <f t="shared" si="16"/>
        <v>68964.516492026742</v>
      </c>
      <c r="M15" s="67">
        <f t="shared" si="16"/>
        <v>67302.61164650369</v>
      </c>
      <c r="N15" s="67">
        <f t="shared" si="16"/>
        <v>61918.112849936064</v>
      </c>
      <c r="O15" s="67">
        <f t="shared" si="16"/>
        <v>61657.566402532218</v>
      </c>
      <c r="P15" s="67">
        <f t="shared" si="16"/>
        <v>72366.687580282785</v>
      </c>
      <c r="Q15" s="67">
        <f t="shared" si="16"/>
        <v>64446.384684864359</v>
      </c>
      <c r="R15" s="67">
        <f t="shared" si="16"/>
        <v>64101.558687343422</v>
      </c>
      <c r="S15" s="17"/>
      <c r="T15" s="28">
        <f>+T16+T17+T20</f>
        <v>810042.16333075054</v>
      </c>
      <c r="U15" s="16"/>
      <c r="V15" s="28">
        <f>+V16+V17+V20</f>
        <v>203573.27582603181</v>
      </c>
      <c r="W15" s="28">
        <f t="shared" ref="W15:Y15" si="17">+W16+W17+W20</f>
        <v>214675.96565325613</v>
      </c>
      <c r="X15" s="28">
        <f t="shared" si="17"/>
        <v>190878.29089897202</v>
      </c>
      <c r="Y15" s="28">
        <f t="shared" si="17"/>
        <v>200914.63095249055</v>
      </c>
      <c r="Z15" s="16"/>
      <c r="AA15" s="28">
        <f>+AA16+AA17+AA20</f>
        <v>810042.16333075054</v>
      </c>
      <c r="AB15" s="16"/>
      <c r="AC15" s="28">
        <f t="shared" ref="AC15" si="18">+AC16+AC17+AC20</f>
        <v>203573.27582603181</v>
      </c>
      <c r="AD15" s="28">
        <f t="shared" ref="AD15" si="19">+AD16+AD17+AD20</f>
        <v>418249.24147928797</v>
      </c>
      <c r="AE15" s="28">
        <f t="shared" ref="AE15" si="20">+AE16+AE17+AE20</f>
        <v>609127.53237825993</v>
      </c>
      <c r="AF15" s="28">
        <f t="shared" ref="AF15" si="21">+AF16+AF17+AF20</f>
        <v>810042.16333075054</v>
      </c>
      <c r="AG15" s="16"/>
      <c r="AH15" s="16"/>
    </row>
    <row r="16" spans="1:35" x14ac:dyDescent="0.35">
      <c r="A16" s="12"/>
      <c r="B16" s="12"/>
      <c r="C16" s="12" t="s">
        <v>20</v>
      </c>
      <c r="D16" s="12"/>
      <c r="E16" s="12"/>
      <c r="F16" s="12"/>
      <c r="G16" s="10">
        <v>24356.478999999999</v>
      </c>
      <c r="H16" s="10">
        <v>24400.364090909094</v>
      </c>
      <c r="I16" s="10">
        <v>23347.318090909092</v>
      </c>
      <c r="J16" s="10">
        <v>25861.994090909091</v>
      </c>
      <c r="K16" s="10">
        <v>27232.532090909091</v>
      </c>
      <c r="L16" s="41">
        <f>29084.8150909091-2268.56209090909</f>
        <v>26816.253000000008</v>
      </c>
      <c r="M16" s="41">
        <v>23746.103090909091</v>
      </c>
      <c r="N16" s="69">
        <v>21881.252090909093</v>
      </c>
      <c r="O16" s="69">
        <v>22375.935090909094</v>
      </c>
      <c r="P16" s="69">
        <v>26422.073090909093</v>
      </c>
      <c r="Q16" s="69">
        <v>19223.609090909093</v>
      </c>
      <c r="R16" s="69">
        <v>21873.930090909093</v>
      </c>
      <c r="S16" s="17"/>
      <c r="T16" s="10">
        <f t="shared" ref="T16:T22" si="22">SUM(G16:Q16)+R16</f>
        <v>287537.84290909092</v>
      </c>
      <c r="U16" s="16"/>
      <c r="V16" s="17">
        <f>SUM(G16:I16)</f>
        <v>72104.161181818185</v>
      </c>
      <c r="W16" s="17">
        <f>SUM(J16:L16)</f>
        <v>79910.779181818187</v>
      </c>
      <c r="X16" s="17">
        <f>SUM(M16:O16)</f>
        <v>68003.290272727289</v>
      </c>
      <c r="Y16" s="17">
        <f>SUM(P16:R16)</f>
        <v>67519.612272727274</v>
      </c>
      <c r="Z16" s="16"/>
      <c r="AA16" s="10">
        <f>SUM(V16:Y16)</f>
        <v>287537.84290909092</v>
      </c>
      <c r="AB16" s="16"/>
      <c r="AC16" s="17">
        <f>V16</f>
        <v>72104.161181818185</v>
      </c>
      <c r="AD16" s="17">
        <f>AC16+W16</f>
        <v>152014.94036363636</v>
      </c>
      <c r="AE16" s="17">
        <f>AD16+X16</f>
        <v>220018.23063636365</v>
      </c>
      <c r="AF16" s="17">
        <f>AE16+Y16</f>
        <v>287537.84290909092</v>
      </c>
      <c r="AG16" s="16"/>
      <c r="AH16" s="16"/>
    </row>
    <row r="17" spans="1:34" x14ac:dyDescent="0.35">
      <c r="A17" s="12"/>
      <c r="B17" s="12"/>
      <c r="C17" s="12" t="s">
        <v>21</v>
      </c>
      <c r="D17" s="12"/>
      <c r="E17" s="12"/>
      <c r="F17" s="12"/>
      <c r="G17" s="13">
        <f t="shared" ref="G17:J17" si="23">G18+G19</f>
        <v>37400</v>
      </c>
      <c r="H17" s="13">
        <f t="shared" si="23"/>
        <v>30264.977999999999</v>
      </c>
      <c r="I17" s="13">
        <f t="shared" si="23"/>
        <v>30372.794000000002</v>
      </c>
      <c r="J17" s="13">
        <f t="shared" si="23"/>
        <v>30038.51</v>
      </c>
      <c r="K17" s="13">
        <f t="shared" ref="K17:R17" si="24">K18+K19</f>
        <v>30087.553</v>
      </c>
      <c r="L17" s="13">
        <f t="shared" si="24"/>
        <v>30024.226999999999</v>
      </c>
      <c r="M17" s="13">
        <f t="shared" si="24"/>
        <v>29940.032999999999</v>
      </c>
      <c r="N17" s="70">
        <f t="shared" si="24"/>
        <v>29855.308000000001</v>
      </c>
      <c r="O17" s="70">
        <f t="shared" si="24"/>
        <v>29888.948</v>
      </c>
      <c r="P17" s="70">
        <f>P18+P19</f>
        <v>29731.831999999999</v>
      </c>
      <c r="Q17" s="70">
        <f t="shared" si="24"/>
        <v>29871.312999999998</v>
      </c>
      <c r="R17" s="70">
        <f t="shared" si="24"/>
        <v>29871.304</v>
      </c>
      <c r="S17" s="17"/>
      <c r="T17" s="10">
        <f>SUM(G17:Q17)+R17</f>
        <v>367346.8</v>
      </c>
      <c r="U17" s="16"/>
      <c r="V17" s="13">
        <f t="shared" ref="V17:Y17" si="25">V18+V19</f>
        <v>98037.771999999997</v>
      </c>
      <c r="W17" s="13">
        <f t="shared" si="25"/>
        <v>90150.29</v>
      </c>
      <c r="X17" s="13">
        <f t="shared" si="25"/>
        <v>89684.289000000004</v>
      </c>
      <c r="Y17" s="13">
        <f t="shared" si="25"/>
        <v>89474.448999999993</v>
      </c>
      <c r="Z17" s="16"/>
      <c r="AA17" s="13">
        <f>AA18+AA19</f>
        <v>367346.8</v>
      </c>
      <c r="AB17" s="16"/>
      <c r="AC17" s="13">
        <f t="shared" ref="AC17:AD17" si="26">AC18+AC19</f>
        <v>98037.771999999997</v>
      </c>
      <c r="AD17" s="13">
        <f t="shared" si="26"/>
        <v>188188.06200000001</v>
      </c>
      <c r="AE17" s="13">
        <f>AE18+AE19</f>
        <v>277872.35100000002</v>
      </c>
      <c r="AF17" s="13">
        <f>AF18+AF19</f>
        <v>367346.8</v>
      </c>
      <c r="AG17" s="16"/>
      <c r="AH17" s="16"/>
    </row>
    <row r="18" spans="1:34" x14ac:dyDescent="0.35">
      <c r="A18" s="12"/>
      <c r="B18" s="12"/>
      <c r="C18" s="12"/>
      <c r="D18" s="12" t="s">
        <v>22</v>
      </c>
      <c r="E18" s="12"/>
      <c r="F18" s="12"/>
      <c r="G18" s="10">
        <v>34040.4195616</v>
      </c>
      <c r="H18" s="10">
        <v>27944.887913278464</v>
      </c>
      <c r="I18" s="10">
        <v>28044.438821105261</v>
      </c>
      <c r="J18" s="10">
        <v>27735.780777104621</v>
      </c>
      <c r="K18" s="10">
        <v>27781.064178200468</v>
      </c>
      <c r="L18" s="10">
        <v>27722.592700970374</v>
      </c>
      <c r="M18" s="10">
        <v>27644.852948674154</v>
      </c>
      <c r="N18" s="17">
        <v>27566.622902432173</v>
      </c>
      <c r="O18" s="17">
        <v>27597.684085737928</v>
      </c>
      <c r="P18" s="17">
        <v>27452.612478238902</v>
      </c>
      <c r="Q18" s="17">
        <v>27581.400971362273</v>
      </c>
      <c r="R18" s="17">
        <v>27581.392661295398</v>
      </c>
      <c r="S18" s="17"/>
      <c r="T18" s="10">
        <f t="shared" si="22"/>
        <v>338693.75</v>
      </c>
      <c r="U18" s="16"/>
      <c r="V18" s="17">
        <f>SUM(G18:I18)</f>
        <v>90029.746295983728</v>
      </c>
      <c r="W18" s="17">
        <f>SUM(J18:L18)</f>
        <v>83239.437656275462</v>
      </c>
      <c r="X18" s="17">
        <f>SUM(M18:O18)</f>
        <v>82809.159936844255</v>
      </c>
      <c r="Y18" s="17">
        <f>SUM(P18:R18)</f>
        <v>82615.406110896569</v>
      </c>
      <c r="Z18" s="16"/>
      <c r="AA18" s="10">
        <f t="shared" ref="AA18:AA19" si="27">SUM(V18:Y18)</f>
        <v>338693.75</v>
      </c>
      <c r="AB18" s="16"/>
      <c r="AC18" s="17">
        <f>V18</f>
        <v>90029.746295983728</v>
      </c>
      <c r="AD18" s="17">
        <f t="shared" ref="AD18:AF19" si="28">AC18+W18</f>
        <v>173269.18395225919</v>
      </c>
      <c r="AE18" s="17">
        <f t="shared" si="28"/>
        <v>256078.34388910345</v>
      </c>
      <c r="AF18" s="17">
        <f>AE18+Y18</f>
        <v>338693.75</v>
      </c>
      <c r="AG18" s="16"/>
      <c r="AH18" s="16"/>
    </row>
    <row r="19" spans="1:34" x14ac:dyDescent="0.35">
      <c r="A19" s="12"/>
      <c r="B19" s="12"/>
      <c r="C19" s="12"/>
      <c r="D19" s="12" t="s">
        <v>23</v>
      </c>
      <c r="E19" s="12"/>
      <c r="F19" s="12"/>
      <c r="G19" s="10">
        <v>3359.5804384000003</v>
      </c>
      <c r="H19" s="10">
        <v>2320.090086721535</v>
      </c>
      <c r="I19" s="10">
        <v>2328.3551788947407</v>
      </c>
      <c r="J19" s="10">
        <v>2302.7292228953775</v>
      </c>
      <c r="K19" s="10">
        <v>2306.4888217995322</v>
      </c>
      <c r="L19" s="10">
        <v>2301.6342990296253</v>
      </c>
      <c r="M19" s="10">
        <v>2295.1800513258459</v>
      </c>
      <c r="N19" s="17">
        <v>2288.6850975678281</v>
      </c>
      <c r="O19" s="17">
        <v>2291.2639142620719</v>
      </c>
      <c r="P19" s="17">
        <v>2279.219521761097</v>
      </c>
      <c r="Q19" s="17">
        <v>2289.9120286377256</v>
      </c>
      <c r="R19" s="17">
        <v>2289.9113387046018</v>
      </c>
      <c r="S19" s="17"/>
      <c r="T19" s="10">
        <f t="shared" si="22"/>
        <v>28653.049999999981</v>
      </c>
      <c r="U19" s="16"/>
      <c r="V19" s="17">
        <f>SUM(G19:I19)</f>
        <v>8008.025704016276</v>
      </c>
      <c r="W19" s="17">
        <f>SUM(J19:L19)</f>
        <v>6910.8523437245349</v>
      </c>
      <c r="X19" s="17">
        <f>SUM(M19:O19)</f>
        <v>6875.1290631557458</v>
      </c>
      <c r="Y19" s="17">
        <f>SUM(P19:R19)</f>
        <v>6859.0428891034244</v>
      </c>
      <c r="Z19" s="16"/>
      <c r="AA19" s="10">
        <f t="shared" si="27"/>
        <v>28653.049999999981</v>
      </c>
      <c r="AB19" s="16"/>
      <c r="AC19" s="17">
        <f>V19</f>
        <v>8008.025704016276</v>
      </c>
      <c r="AD19" s="17">
        <f t="shared" si="28"/>
        <v>14918.878047740811</v>
      </c>
      <c r="AE19" s="17">
        <f t="shared" si="28"/>
        <v>21794.007110896557</v>
      </c>
      <c r="AF19" s="17">
        <f t="shared" si="28"/>
        <v>28653.049999999981</v>
      </c>
      <c r="AG19" s="16"/>
      <c r="AH19" s="16"/>
    </row>
    <row r="20" spans="1:34" x14ac:dyDescent="0.35">
      <c r="A20" s="12"/>
      <c r="B20" s="12"/>
      <c r="C20" s="12" t="s">
        <v>24</v>
      </c>
      <c r="D20" s="12"/>
      <c r="E20" s="12"/>
      <c r="F20" s="12"/>
      <c r="G20" s="13">
        <f>+G21+G22</f>
        <v>13712.584966513779</v>
      </c>
      <c r="H20" s="13">
        <f t="shared" ref="H20:R20" si="29">+H21+H22</f>
        <v>10206.720929999759</v>
      </c>
      <c r="I20" s="13">
        <f t="shared" si="29"/>
        <v>9512.0367477000909</v>
      </c>
      <c r="J20" s="13">
        <f t="shared" si="29"/>
        <v>17083.943818196611</v>
      </c>
      <c r="K20" s="13">
        <f t="shared" si="29"/>
        <v>15406.91616121462</v>
      </c>
      <c r="L20" s="13">
        <f t="shared" si="29"/>
        <v>12124.036492026729</v>
      </c>
      <c r="M20" s="13">
        <f t="shared" si="29"/>
        <v>13616.475555594599</v>
      </c>
      <c r="N20" s="70">
        <f t="shared" si="29"/>
        <v>10181.55275902697</v>
      </c>
      <c r="O20" s="70">
        <f t="shared" si="29"/>
        <v>9392.6833116231301</v>
      </c>
      <c r="P20" s="70">
        <f t="shared" si="29"/>
        <v>16212.7824893737</v>
      </c>
      <c r="Q20" s="70">
        <f t="shared" si="29"/>
        <v>15351.462593955261</v>
      </c>
      <c r="R20" s="70">
        <f t="shared" si="29"/>
        <v>12356.32459643433</v>
      </c>
      <c r="S20" s="17"/>
      <c r="T20" s="10">
        <f t="shared" si="22"/>
        <v>155157.52042165957</v>
      </c>
      <c r="U20" s="16"/>
      <c r="V20" s="10">
        <f t="shared" ref="V20:Y20" si="30">+V21+V22</f>
        <v>33431.342644213626</v>
      </c>
      <c r="W20" s="10">
        <f t="shared" si="30"/>
        <v>44614.896471437962</v>
      </c>
      <c r="X20" s="10">
        <f t="shared" si="30"/>
        <v>33190.711626244702</v>
      </c>
      <c r="Y20" s="10">
        <f t="shared" si="30"/>
        <v>43920.569679763285</v>
      </c>
      <c r="Z20" s="16"/>
      <c r="AA20" s="10">
        <f>+AA21+AA22</f>
        <v>155157.52042165957</v>
      </c>
      <c r="AB20" s="16"/>
      <c r="AC20" s="10">
        <f t="shared" ref="AC20:AF20" si="31">+AC21+AC22</f>
        <v>33431.342644213626</v>
      </c>
      <c r="AD20" s="10">
        <f t="shared" si="31"/>
        <v>78046.239115651581</v>
      </c>
      <c r="AE20" s="10">
        <f t="shared" si="31"/>
        <v>111236.95074189629</v>
      </c>
      <c r="AF20" s="10">
        <f t="shared" si="31"/>
        <v>155157.52042165957</v>
      </c>
      <c r="AG20" s="16"/>
      <c r="AH20" s="16"/>
    </row>
    <row r="21" spans="1:34" x14ac:dyDescent="0.35">
      <c r="A21" s="12"/>
      <c r="B21" s="12"/>
      <c r="C21" s="12"/>
      <c r="D21" s="12" t="s">
        <v>25</v>
      </c>
      <c r="E21" s="12"/>
      <c r="F21" s="12"/>
      <c r="G21" s="10">
        <v>4105.9332321388401</v>
      </c>
      <c r="H21" s="10">
        <v>5381.4476119843202</v>
      </c>
      <c r="I21" s="10">
        <v>7574.6564224510503</v>
      </c>
      <c r="J21" s="10">
        <v>1437.2619505213099</v>
      </c>
      <c r="K21" s="10">
        <v>11450.481205124001</v>
      </c>
      <c r="L21" s="10">
        <v>2876.6873280302498</v>
      </c>
      <c r="M21" s="10">
        <v>4039.42586232144</v>
      </c>
      <c r="N21" s="17">
        <v>5352.49979243501</v>
      </c>
      <c r="O21" s="17">
        <v>7548.7703587656897</v>
      </c>
      <c r="P21" s="17">
        <v>1435.1940280898</v>
      </c>
      <c r="Q21" s="17">
        <v>11467.7240857208</v>
      </c>
      <c r="R21" s="17">
        <v>2876.6873280302498</v>
      </c>
      <c r="S21" s="17"/>
      <c r="T21" s="10">
        <f t="shared" si="22"/>
        <v>65546.769205612756</v>
      </c>
      <c r="U21" s="16"/>
      <c r="V21" s="17">
        <f>SUM(G21:I21)</f>
        <v>17062.037266574211</v>
      </c>
      <c r="W21" s="17">
        <f>SUM(J21:L21)</f>
        <v>15764.43048367556</v>
      </c>
      <c r="X21" s="17">
        <f>SUM(M21:O21)</f>
        <v>16940.696013522142</v>
      </c>
      <c r="Y21" s="17">
        <f>SUM(P21:R21)</f>
        <v>15779.605441840849</v>
      </c>
      <c r="Z21" s="16"/>
      <c r="AA21" s="10">
        <f t="shared" ref="AA21:AA22" si="32">SUM(V21:Y21)</f>
        <v>65546.769205612756</v>
      </c>
      <c r="AB21" s="16"/>
      <c r="AC21" s="17">
        <f>V21</f>
        <v>17062.037266574211</v>
      </c>
      <c r="AD21" s="17">
        <f t="shared" ref="AD21:AF22" si="33">AC21+W21</f>
        <v>32826.467750249773</v>
      </c>
      <c r="AE21" s="17">
        <f t="shared" si="33"/>
        <v>49767.16376377191</v>
      </c>
      <c r="AF21" s="17">
        <f t="shared" si="33"/>
        <v>65546.769205612756</v>
      </c>
      <c r="AG21" s="16"/>
      <c r="AH21" s="16"/>
    </row>
    <row r="22" spans="1:34" x14ac:dyDescent="0.35">
      <c r="A22" s="12"/>
      <c r="B22" s="12"/>
      <c r="C22" s="12"/>
      <c r="D22" s="12" t="s">
        <v>26</v>
      </c>
      <c r="E22" s="12"/>
      <c r="F22" s="12"/>
      <c r="G22" s="10">
        <v>9606.6517343749401</v>
      </c>
      <c r="H22" s="10">
        <v>4825.2733180154401</v>
      </c>
      <c r="I22" s="10">
        <v>1937.38032524904</v>
      </c>
      <c r="J22" s="10">
        <v>15646.681867675299</v>
      </c>
      <c r="K22" s="10">
        <v>3956.4349560906198</v>
      </c>
      <c r="L22" s="10">
        <v>9247.3491639964795</v>
      </c>
      <c r="M22" s="10">
        <v>9577.0496932731603</v>
      </c>
      <c r="N22" s="17">
        <v>4829.0529665919603</v>
      </c>
      <c r="O22" s="17">
        <v>1843.9129528574399</v>
      </c>
      <c r="P22" s="17">
        <v>14777.5884612839</v>
      </c>
      <c r="Q22" s="17">
        <v>3883.7385082344599</v>
      </c>
      <c r="R22" s="17">
        <v>9479.6372684040798</v>
      </c>
      <c r="S22" s="17"/>
      <c r="T22" s="10">
        <f t="shared" si="22"/>
        <v>89610.751216046818</v>
      </c>
      <c r="U22" s="16"/>
      <c r="V22" s="17">
        <f>SUM(G22:I22)</f>
        <v>16369.305377639419</v>
      </c>
      <c r="W22" s="17">
        <f>SUM(J22:L22)</f>
        <v>28850.4659877624</v>
      </c>
      <c r="X22" s="17">
        <f>SUM(M22:O22)</f>
        <v>16250.01561272256</v>
      </c>
      <c r="Y22" s="17">
        <f>SUM(P22:R22)</f>
        <v>28140.964237922439</v>
      </c>
      <c r="Z22" s="16"/>
      <c r="AA22" s="10">
        <f t="shared" si="32"/>
        <v>89610.751216046818</v>
      </c>
      <c r="AB22" s="16"/>
      <c r="AC22" s="17">
        <f>V22</f>
        <v>16369.305377639419</v>
      </c>
      <c r="AD22" s="17">
        <f t="shared" si="33"/>
        <v>45219.771365401815</v>
      </c>
      <c r="AE22" s="17">
        <f t="shared" si="33"/>
        <v>61469.786978124379</v>
      </c>
      <c r="AF22" s="17">
        <f t="shared" si="33"/>
        <v>89610.751216046818</v>
      </c>
      <c r="AG22" s="16"/>
      <c r="AH22" s="16"/>
    </row>
    <row r="23" spans="1:34" x14ac:dyDescent="0.35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7"/>
      <c r="T23" s="10"/>
      <c r="U23" s="16"/>
      <c r="V23" s="16"/>
      <c r="W23" s="16"/>
      <c r="X23" s="16"/>
      <c r="Y23" s="16"/>
      <c r="Z23" s="16"/>
      <c r="AA23" s="10"/>
      <c r="AB23" s="16"/>
      <c r="AC23" s="17"/>
      <c r="AD23" s="17"/>
      <c r="AE23" s="17"/>
      <c r="AF23" s="17"/>
      <c r="AG23" s="16"/>
      <c r="AH23" s="16"/>
    </row>
    <row r="24" spans="1:34" x14ac:dyDescent="0.35">
      <c r="A24" s="11"/>
      <c r="B24" s="11" t="s">
        <v>27</v>
      </c>
      <c r="C24" s="11"/>
      <c r="D24" s="11"/>
      <c r="E24" s="11"/>
      <c r="F24" s="11"/>
      <c r="G24" s="67">
        <f t="shared" ref="G24:R24" si="34">+G25</f>
        <v>7050.2529999999997</v>
      </c>
      <c r="H24" s="67">
        <f t="shared" si="34"/>
        <v>4194.0601999999999</v>
      </c>
      <c r="I24" s="67">
        <f t="shared" si="34"/>
        <v>5044.8221999999996</v>
      </c>
      <c r="J24" s="67">
        <f t="shared" si="34"/>
        <v>5175.6600421747198</v>
      </c>
      <c r="K24" s="67">
        <f t="shared" si="34"/>
        <v>5401.4301128493798</v>
      </c>
      <c r="L24" s="67">
        <f t="shared" si="34"/>
        <v>5224.8081512589397</v>
      </c>
      <c r="M24" s="67">
        <f t="shared" si="34"/>
        <v>5648.2403864708604</v>
      </c>
      <c r="N24" s="67">
        <f t="shared" si="34"/>
        <v>6544.0210700219804</v>
      </c>
      <c r="O24" s="67">
        <f t="shared" si="34"/>
        <v>6583.2639611782197</v>
      </c>
      <c r="P24" s="67">
        <f t="shared" si="34"/>
        <v>6631.4773469389402</v>
      </c>
      <c r="Q24" s="67">
        <f t="shared" si="34"/>
        <v>6931.4321175278701</v>
      </c>
      <c r="R24" s="67">
        <f t="shared" si="34"/>
        <v>10943.4214115791</v>
      </c>
      <c r="S24" s="17"/>
      <c r="T24" s="28">
        <f>+T25</f>
        <v>75372.890000000014</v>
      </c>
      <c r="U24" s="16"/>
      <c r="V24" s="28">
        <f t="shared" ref="V24:Y24" si="35">+V25</f>
        <v>16289.135399999999</v>
      </c>
      <c r="W24" s="28">
        <f t="shared" si="35"/>
        <v>15801.898306283039</v>
      </c>
      <c r="X24" s="28">
        <f t="shared" si="35"/>
        <v>18775.525417671059</v>
      </c>
      <c r="Y24" s="28">
        <f t="shared" si="35"/>
        <v>24506.330876045911</v>
      </c>
      <c r="Z24" s="16"/>
      <c r="AA24" s="28">
        <f>+AA25</f>
        <v>75372.890000000014</v>
      </c>
      <c r="AB24" s="16"/>
      <c r="AC24" s="28">
        <f t="shared" ref="AC24:AF24" si="36">+AC25</f>
        <v>16289.135399999999</v>
      </c>
      <c r="AD24" s="28">
        <f t="shared" si="36"/>
        <v>32091.033706283037</v>
      </c>
      <c r="AE24" s="28">
        <f t="shared" si="36"/>
        <v>50866.559123954095</v>
      </c>
      <c r="AF24" s="28">
        <f t="shared" si="36"/>
        <v>75372.890000000014</v>
      </c>
      <c r="AG24" s="16"/>
      <c r="AH24" s="16"/>
    </row>
    <row r="25" spans="1:34" x14ac:dyDescent="0.35">
      <c r="A25" s="12"/>
      <c r="B25" s="12"/>
      <c r="C25" s="12" t="s">
        <v>28</v>
      </c>
      <c r="D25" s="12"/>
      <c r="E25" s="12"/>
      <c r="F25" s="12"/>
      <c r="G25" s="13">
        <v>7050.2529999999997</v>
      </c>
      <c r="H25" s="13">
        <f>4894.0602-700</f>
        <v>4194.0601999999999</v>
      </c>
      <c r="I25" s="13">
        <f>6144.8222-1100</f>
        <v>5044.8221999999996</v>
      </c>
      <c r="J25" s="13">
        <f>5675.66004217472-500</f>
        <v>5175.6600421747198</v>
      </c>
      <c r="K25" s="13">
        <v>5401.4301128493798</v>
      </c>
      <c r="L25" s="13">
        <f>5724.80815125894-500</f>
        <v>5224.8081512589397</v>
      </c>
      <c r="M25" s="13">
        <v>5648.2403864708604</v>
      </c>
      <c r="N25" s="13">
        <f>6294.02107002198+250</f>
        <v>6544.0210700219804</v>
      </c>
      <c r="O25" s="13">
        <f>6333.26396117822+250</f>
        <v>6583.2639611782197</v>
      </c>
      <c r="P25" s="13">
        <f>6381.47734693894+250</f>
        <v>6631.4773469389402</v>
      </c>
      <c r="Q25" s="13">
        <f>5131.43211752787+1100+500+200</f>
        <v>6931.4321175278701</v>
      </c>
      <c r="R25" s="13">
        <f>10558.8446115791+384.5768</f>
        <v>10943.4214115791</v>
      </c>
      <c r="S25" s="17"/>
      <c r="T25" s="10">
        <f>SUM(G25:Q25)+R25</f>
        <v>75372.890000000014</v>
      </c>
      <c r="U25" s="16"/>
      <c r="V25" s="17">
        <f>SUM(G25:I25)</f>
        <v>16289.135399999999</v>
      </c>
      <c r="W25" s="17">
        <f>SUM(J25:L25)</f>
        <v>15801.898306283039</v>
      </c>
      <c r="X25" s="17">
        <f>SUM(M25:O25)</f>
        <v>18775.525417671059</v>
      </c>
      <c r="Y25" s="17">
        <f>SUM(P25:R25)</f>
        <v>24506.330876045911</v>
      </c>
      <c r="Z25" s="16"/>
      <c r="AA25" s="10">
        <f>SUM(V25:Y25)</f>
        <v>75372.890000000014</v>
      </c>
      <c r="AB25" s="16"/>
      <c r="AC25" s="17">
        <f>V25</f>
        <v>16289.135399999999</v>
      </c>
      <c r="AD25" s="17">
        <f>AC25+W25</f>
        <v>32091.033706283037</v>
      </c>
      <c r="AE25" s="17">
        <f>AD25+X25</f>
        <v>50866.559123954095</v>
      </c>
      <c r="AF25" s="17">
        <f>AE25+Y25</f>
        <v>75372.890000000014</v>
      </c>
      <c r="AG25" s="16"/>
      <c r="AH25" s="16"/>
    </row>
    <row r="26" spans="1:34" x14ac:dyDescent="0.35">
      <c r="A26" s="12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7"/>
      <c r="T26" s="15"/>
      <c r="U26" s="16"/>
      <c r="V26" s="16"/>
      <c r="W26" s="16"/>
      <c r="X26" s="16"/>
      <c r="Y26" s="16"/>
      <c r="Z26" s="16"/>
      <c r="AA26" s="15"/>
      <c r="AB26" s="16"/>
      <c r="AC26" s="17"/>
      <c r="AD26" s="17"/>
      <c r="AE26" s="17"/>
      <c r="AF26" s="17"/>
      <c r="AG26" s="16"/>
      <c r="AH26" s="16"/>
    </row>
    <row r="27" spans="1:34" x14ac:dyDescent="0.35">
      <c r="A27" s="11" t="s">
        <v>29</v>
      </c>
      <c r="B27" s="12"/>
      <c r="C27" s="12"/>
      <c r="D27" s="12"/>
      <c r="E27" s="12"/>
      <c r="F27" s="12"/>
      <c r="G27" s="67">
        <f>+G7-G14</f>
        <v>30911.718546213859</v>
      </c>
      <c r="H27" s="67">
        <f t="shared" ref="H27:R27" si="37">+H7-H14</f>
        <v>9985.7336474272161</v>
      </c>
      <c r="I27" s="67">
        <f t="shared" si="37"/>
        <v>32729.332750272617</v>
      </c>
      <c r="J27" s="67">
        <f t="shared" si="37"/>
        <v>10965.384643790807</v>
      </c>
      <c r="K27" s="67">
        <f t="shared" si="37"/>
        <v>-866.95220415541553</v>
      </c>
      <c r="L27" s="67">
        <f t="shared" si="37"/>
        <v>22921.854761858092</v>
      </c>
      <c r="M27" s="67">
        <f>+M7-M14</f>
        <v>-2830.8636497061671</v>
      </c>
      <c r="N27" s="67">
        <f t="shared" si="37"/>
        <v>8252.8817867831967</v>
      </c>
      <c r="O27" s="67">
        <f t="shared" si="37"/>
        <v>30947.307622721797</v>
      </c>
      <c r="P27" s="67">
        <f t="shared" si="37"/>
        <v>2855.1903474948631</v>
      </c>
      <c r="Q27" s="67">
        <f t="shared" si="37"/>
        <v>1227.6717948123551</v>
      </c>
      <c r="R27" s="67">
        <f t="shared" si="37"/>
        <v>51017.997326833094</v>
      </c>
      <c r="S27" s="17"/>
      <c r="T27" s="28">
        <f>+T7-T14</f>
        <v>198117.25737434614</v>
      </c>
      <c r="U27" s="16"/>
      <c r="V27" s="28">
        <f t="shared" ref="V27:AF27" si="38">+V7-V14</f>
        <v>73626.784943913721</v>
      </c>
      <c r="W27" s="28">
        <f t="shared" si="38"/>
        <v>33020.287201493484</v>
      </c>
      <c r="X27" s="28">
        <f t="shared" si="38"/>
        <v>36369.325759798754</v>
      </c>
      <c r="Y27" s="28">
        <f t="shared" si="38"/>
        <v>55100.859469140356</v>
      </c>
      <c r="Z27" s="16"/>
      <c r="AA27" s="28">
        <f>+AA7-AA14</f>
        <v>198117.25737434637</v>
      </c>
      <c r="AB27" s="16"/>
      <c r="AC27" s="28">
        <f t="shared" si="38"/>
        <v>73626.784943913721</v>
      </c>
      <c r="AD27" s="28">
        <f t="shared" si="38"/>
        <v>106647.07214540726</v>
      </c>
      <c r="AE27" s="28">
        <f t="shared" si="38"/>
        <v>143016.39790520607</v>
      </c>
      <c r="AF27" s="28">
        <f t="shared" si="38"/>
        <v>198117.25737434637</v>
      </c>
      <c r="AG27" s="16"/>
      <c r="AH27" s="16"/>
    </row>
    <row r="28" spans="1:34" x14ac:dyDescent="0.35">
      <c r="A28" s="20"/>
      <c r="B28" s="16"/>
      <c r="C28" s="12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0"/>
      <c r="R28" s="39"/>
      <c r="S28" s="17"/>
      <c r="T28" s="10"/>
      <c r="U28" s="16"/>
      <c r="V28" s="16"/>
      <c r="W28" s="16"/>
      <c r="X28" s="16"/>
      <c r="Y28" s="16"/>
      <c r="Z28" s="16"/>
      <c r="AA28" s="10"/>
      <c r="AB28" s="16"/>
      <c r="AC28" s="17"/>
      <c r="AD28" s="17"/>
      <c r="AE28" s="17"/>
      <c r="AF28" s="17"/>
      <c r="AG28" s="16"/>
      <c r="AH28" s="16"/>
    </row>
    <row r="29" spans="1:34" x14ac:dyDescent="0.35">
      <c r="A29" s="11" t="s">
        <v>34</v>
      </c>
      <c r="B29" s="12"/>
      <c r="C29" s="12"/>
      <c r="D29" s="12"/>
      <c r="E29" s="12"/>
      <c r="F29" s="12"/>
      <c r="G29" s="67">
        <f>G30+G31</f>
        <v>12847.848763873333</v>
      </c>
      <c r="H29" s="67">
        <f t="shared" ref="H29:R29" si="39">H30+H31</f>
        <v>12207.337783333332</v>
      </c>
      <c r="I29" s="67">
        <f t="shared" si="39"/>
        <v>3488.4927833333331</v>
      </c>
      <c r="J29" s="67">
        <f t="shared" si="39"/>
        <v>9030.8905333333332</v>
      </c>
      <c r="K29" s="67">
        <f t="shared" si="39"/>
        <v>67721.40754950972</v>
      </c>
      <c r="L29" s="67">
        <f t="shared" si="39"/>
        <v>3426.1627833333332</v>
      </c>
      <c r="M29" s="67">
        <f t="shared" si="39"/>
        <v>7796.3845333333329</v>
      </c>
      <c r="N29" s="67">
        <f t="shared" si="39"/>
        <v>5754.929783333333</v>
      </c>
      <c r="O29" s="67">
        <f t="shared" si="39"/>
        <v>2507.7577833333335</v>
      </c>
      <c r="P29" s="67">
        <f t="shared" si="39"/>
        <v>6714.5421027933344</v>
      </c>
      <c r="Q29" s="67">
        <f t="shared" si="39"/>
        <v>5601.3277833333332</v>
      </c>
      <c r="R29" s="67">
        <f t="shared" si="39"/>
        <v>2375.3885833333334</v>
      </c>
      <c r="S29" s="17"/>
      <c r="T29" s="28">
        <f>T30+T31</f>
        <v>139472.47076617638</v>
      </c>
      <c r="U29" s="16"/>
      <c r="V29" s="28">
        <f t="shared" ref="V29" si="40">V30+V31</f>
        <v>28543.679330539999</v>
      </c>
      <c r="W29" s="28">
        <f t="shared" ref="W29" si="41">W30+W31</f>
        <v>80178.460866176378</v>
      </c>
      <c r="X29" s="28">
        <f t="shared" ref="X29" si="42">X30+X31</f>
        <v>16059.072099999999</v>
      </c>
      <c r="Y29" s="28">
        <f t="shared" ref="Y29" si="43">Y30+Y31</f>
        <v>14691.258469460001</v>
      </c>
      <c r="Z29" s="16"/>
      <c r="AA29" s="28">
        <f t="shared" ref="AA29" si="44">AA30+AA31</f>
        <v>139472.47076617638</v>
      </c>
      <c r="AB29" s="16"/>
      <c r="AC29" s="28">
        <f t="shared" ref="AC29" si="45">AC30+AC31</f>
        <v>28543.679330539999</v>
      </c>
      <c r="AD29" s="28">
        <f t="shared" ref="AD29" si="46">AD30+AD31</f>
        <v>108722.14019671638</v>
      </c>
      <c r="AE29" s="28">
        <f t="shared" ref="AE29" si="47">AE30+AE31</f>
        <v>124781.21229671639</v>
      </c>
      <c r="AF29" s="28">
        <f t="shared" ref="AF29" si="48">AF30+AF31</f>
        <v>139472.47076617638</v>
      </c>
      <c r="AG29" s="16"/>
      <c r="AH29" s="16"/>
    </row>
    <row r="30" spans="1:34" x14ac:dyDescent="0.35">
      <c r="A30" s="11"/>
      <c r="B30" s="12" t="s">
        <v>25</v>
      </c>
      <c r="C30" s="12"/>
      <c r="D30" s="12"/>
      <c r="E30" s="12"/>
      <c r="F30" s="12"/>
      <c r="G30" s="42">
        <v>11128.631430539999</v>
      </c>
      <c r="H30" s="42">
        <v>10200</v>
      </c>
      <c r="I30" s="42">
        <v>1400</v>
      </c>
      <c r="J30" s="42">
        <v>7200</v>
      </c>
      <c r="K30" s="42">
        <v>5200</v>
      </c>
      <c r="L30" s="42">
        <v>1400</v>
      </c>
      <c r="M30" s="42">
        <v>6400</v>
      </c>
      <c r="N30" s="42">
        <v>5200</v>
      </c>
      <c r="O30" s="42">
        <v>1400</v>
      </c>
      <c r="P30" s="42">
        <v>5946.6755694600015</v>
      </c>
      <c r="Q30" s="42">
        <v>5200</v>
      </c>
      <c r="R30" s="42">
        <v>1400</v>
      </c>
      <c r="S30" s="17"/>
      <c r="T30" s="10">
        <f>SUM(G30:Q30)+R30</f>
        <v>62075.307000000001</v>
      </c>
      <c r="U30" s="16"/>
      <c r="V30" s="17">
        <f>SUM(G30:I30)</f>
        <v>22728.631430540001</v>
      </c>
      <c r="W30" s="17">
        <f>SUM(J30:L30)</f>
        <v>13800</v>
      </c>
      <c r="X30" s="17">
        <f>SUM(M30:O30)</f>
        <v>13000</v>
      </c>
      <c r="Y30" s="17">
        <f>SUM(P30:R30)</f>
        <v>12546.675569460001</v>
      </c>
      <c r="Z30" s="16"/>
      <c r="AA30" s="10">
        <f t="shared" ref="AA30:AA33" si="49">SUM(V30:Y30)</f>
        <v>62075.307000000001</v>
      </c>
      <c r="AB30" s="16"/>
      <c r="AC30" s="17">
        <f>V30</f>
        <v>22728.631430540001</v>
      </c>
      <c r="AD30" s="17">
        <f t="shared" ref="AD30:AF31" si="50">AC30+W30</f>
        <v>36528.631430540001</v>
      </c>
      <c r="AE30" s="17">
        <f t="shared" si="50"/>
        <v>49528.631430540001</v>
      </c>
      <c r="AF30" s="17">
        <f t="shared" si="50"/>
        <v>62075.307000000001</v>
      </c>
      <c r="AG30" s="16"/>
      <c r="AH30" s="16"/>
    </row>
    <row r="31" spans="1:34" x14ac:dyDescent="0.35">
      <c r="A31" s="12"/>
      <c r="B31" s="12" t="s">
        <v>26</v>
      </c>
      <c r="C31" s="12"/>
      <c r="D31" s="12"/>
      <c r="E31" s="12"/>
      <c r="F31" s="13"/>
      <c r="G31" s="42">
        <v>1719.2173333333333</v>
      </c>
      <c r="H31" s="42">
        <v>2007.3377833333332</v>
      </c>
      <c r="I31" s="42">
        <v>2088.4927833333331</v>
      </c>
      <c r="J31" s="42">
        <v>1830.8905333333332</v>
      </c>
      <c r="K31" s="42">
        <v>62521.40754950972</v>
      </c>
      <c r="L31" s="42">
        <v>2026.1627833333332</v>
      </c>
      <c r="M31" s="42">
        <v>1396.3845333333331</v>
      </c>
      <c r="N31" s="42">
        <v>554.92978333333338</v>
      </c>
      <c r="O31" s="42">
        <v>1107.7577833333332</v>
      </c>
      <c r="P31" s="42">
        <v>767.86653333333322</v>
      </c>
      <c r="Q31" s="42">
        <v>401.32778333333334</v>
      </c>
      <c r="R31" s="42">
        <v>975.38858333333326</v>
      </c>
      <c r="S31" s="17"/>
      <c r="T31" s="10">
        <f>SUM(G31:Q31)+R31</f>
        <v>77397.163766176382</v>
      </c>
      <c r="U31" s="16"/>
      <c r="V31" s="17">
        <f>SUM(G31:I31)</f>
        <v>5815.0478999999996</v>
      </c>
      <c r="W31" s="17">
        <f>SUM(J31:L31)</f>
        <v>66378.460866176378</v>
      </c>
      <c r="X31" s="17">
        <f>SUM(M31:O31)</f>
        <v>3059.0720999999994</v>
      </c>
      <c r="Y31" s="17">
        <f>SUM(P31:R31)</f>
        <v>2144.5828999999999</v>
      </c>
      <c r="Z31" s="16"/>
      <c r="AA31" s="10">
        <f t="shared" si="49"/>
        <v>77397.163766176382</v>
      </c>
      <c r="AB31" s="16"/>
      <c r="AC31" s="17">
        <f>V31</f>
        <v>5815.0478999999996</v>
      </c>
      <c r="AD31" s="17">
        <f t="shared" si="50"/>
        <v>72193.508766176383</v>
      </c>
      <c r="AE31" s="17">
        <f t="shared" si="50"/>
        <v>75252.580866176388</v>
      </c>
      <c r="AF31" s="17">
        <f t="shared" si="50"/>
        <v>77397.163766176382</v>
      </c>
      <c r="AG31" s="16"/>
      <c r="AH31" s="16"/>
    </row>
    <row r="32" spans="1:34" x14ac:dyDescent="0.35">
      <c r="A32" s="12"/>
      <c r="B32" s="12"/>
      <c r="C32" s="12"/>
      <c r="D32" s="12"/>
      <c r="E32" s="12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7"/>
      <c r="T32" s="10"/>
      <c r="U32" s="16"/>
      <c r="V32" s="16"/>
      <c r="W32" s="16"/>
      <c r="X32" s="16"/>
      <c r="Y32" s="16"/>
      <c r="Z32" s="16"/>
      <c r="AA32" s="10"/>
      <c r="AB32" s="16"/>
      <c r="AC32" s="17"/>
      <c r="AD32" s="17"/>
      <c r="AE32" s="17"/>
      <c r="AF32" s="17"/>
      <c r="AG32" s="16"/>
      <c r="AH32" s="16"/>
    </row>
    <row r="33" spans="1:34" ht="15.5" x14ac:dyDescent="0.35">
      <c r="A33" s="26" t="s">
        <v>75</v>
      </c>
      <c r="B33" s="27"/>
      <c r="C33" s="12"/>
      <c r="D33" s="12"/>
      <c r="E33" s="12"/>
      <c r="F33" s="12"/>
      <c r="G33" s="28">
        <v>9.1</v>
      </c>
      <c r="H33" s="28">
        <v>9.1</v>
      </c>
      <c r="I33" s="28">
        <v>557.84202789000005</v>
      </c>
      <c r="J33" s="28">
        <v>1419.1312347355699</v>
      </c>
      <c r="K33" s="28">
        <v>9.1</v>
      </c>
      <c r="L33" s="28">
        <v>9.1</v>
      </c>
      <c r="M33" s="28">
        <v>387.52472222</v>
      </c>
      <c r="N33" s="28">
        <v>9140.3921538407103</v>
      </c>
      <c r="O33" s="28">
        <v>557.84202789000005</v>
      </c>
      <c r="P33" s="28">
        <v>1409.1156375266801</v>
      </c>
      <c r="Q33" s="28">
        <v>9.1</v>
      </c>
      <c r="R33" s="28">
        <v>2308.85219589704</v>
      </c>
      <c r="S33" s="17"/>
      <c r="T33" s="28">
        <f>SUM(G33:Q33)+R33</f>
        <v>15826.199999999999</v>
      </c>
      <c r="U33" s="16"/>
      <c r="V33" s="22">
        <f>SUM(G33:I33)</f>
        <v>576.0420278900001</v>
      </c>
      <c r="W33" s="22">
        <f>SUM(J33:L33)</f>
        <v>1437.3312347355698</v>
      </c>
      <c r="X33" s="22">
        <f>SUM(M33:O33)</f>
        <v>10085.758903950709</v>
      </c>
      <c r="Y33" s="22">
        <f>SUM(P33:R33)</f>
        <v>3727.06783342372</v>
      </c>
      <c r="Z33" s="20"/>
      <c r="AA33" s="28">
        <f t="shared" si="49"/>
        <v>15826.199999999999</v>
      </c>
      <c r="AB33" s="16"/>
      <c r="AC33" s="22">
        <f>V33</f>
        <v>576.0420278900001</v>
      </c>
      <c r="AD33" s="22">
        <f t="shared" ref="AD33:AF34" si="51">AC33+W33</f>
        <v>2013.3732626255699</v>
      </c>
      <c r="AE33" s="22">
        <f t="shared" si="51"/>
        <v>12099.132166576279</v>
      </c>
      <c r="AF33" s="22">
        <f t="shared" si="51"/>
        <v>15826.199999999999</v>
      </c>
      <c r="AG33" s="16"/>
      <c r="AH33" s="16"/>
    </row>
    <row r="34" spans="1:34" ht="15.5" x14ac:dyDescent="0.35">
      <c r="A34" s="26" t="s">
        <v>76</v>
      </c>
      <c r="B34" s="27"/>
      <c r="C34" s="12"/>
      <c r="D34" s="12"/>
      <c r="E34" s="12"/>
      <c r="F34" s="12"/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8537</v>
      </c>
      <c r="S34" s="17"/>
      <c r="T34" s="28">
        <f>SUM(G34:Q34)+R34</f>
        <v>8537</v>
      </c>
      <c r="U34" s="16"/>
      <c r="V34" s="22">
        <f>SUM(G34:I34)</f>
        <v>0</v>
      </c>
      <c r="W34" s="22">
        <f>SUM(J34:L34)</f>
        <v>0</v>
      </c>
      <c r="X34" s="22">
        <f>SUM(M34:O34)</f>
        <v>0</v>
      </c>
      <c r="Y34" s="22">
        <f>SUM(P34:R34)</f>
        <v>8537</v>
      </c>
      <c r="Z34" s="20"/>
      <c r="AA34" s="28">
        <f t="shared" ref="AA34" si="52">SUM(V34:Y34)</f>
        <v>8537</v>
      </c>
      <c r="AB34" s="16"/>
      <c r="AC34" s="22">
        <f>V34</f>
        <v>0</v>
      </c>
      <c r="AD34" s="22">
        <f t="shared" si="51"/>
        <v>0</v>
      </c>
      <c r="AE34" s="22">
        <f t="shared" si="51"/>
        <v>0</v>
      </c>
      <c r="AF34" s="22">
        <f t="shared" si="51"/>
        <v>8537</v>
      </c>
      <c r="AG34" s="16"/>
      <c r="AH34" s="16"/>
    </row>
    <row r="35" spans="1:34" ht="15.5" x14ac:dyDescent="0.35">
      <c r="A35" s="26"/>
      <c r="B35" s="27"/>
      <c r="C35" s="12"/>
      <c r="D35" s="12"/>
      <c r="E35" s="12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7"/>
      <c r="T35" s="10"/>
      <c r="U35" s="16"/>
      <c r="V35" s="16"/>
      <c r="W35" s="16"/>
      <c r="X35" s="16"/>
      <c r="Y35" s="16"/>
      <c r="Z35" s="16"/>
      <c r="AA35" s="10"/>
      <c r="AB35" s="16"/>
      <c r="AC35" s="17"/>
      <c r="AD35" s="17"/>
      <c r="AE35" s="17"/>
      <c r="AF35" s="17"/>
      <c r="AG35" s="16"/>
      <c r="AH35" s="16"/>
    </row>
    <row r="36" spans="1:34" x14ac:dyDescent="0.35">
      <c r="A36" s="11" t="s">
        <v>31</v>
      </c>
      <c r="B36" s="12"/>
      <c r="C36" s="12"/>
      <c r="D36" s="12"/>
      <c r="E36" s="12"/>
      <c r="F36" s="12"/>
      <c r="G36" s="67">
        <f>+G37+G38</f>
        <v>5181.6097081356602</v>
      </c>
      <c r="H36" s="67">
        <f t="shared" ref="H36:R36" si="53">+H37+H38</f>
        <v>6501.0665794833203</v>
      </c>
      <c r="I36" s="67">
        <f t="shared" si="53"/>
        <v>6069.6213525587</v>
      </c>
      <c r="J36" s="67">
        <f t="shared" si="53"/>
        <v>30357.523773561141</v>
      </c>
      <c r="K36" s="67">
        <f t="shared" si="53"/>
        <v>8627.1856824461611</v>
      </c>
      <c r="L36" s="67">
        <f t="shared" si="53"/>
        <v>3772.4364501989003</v>
      </c>
      <c r="M36" s="67">
        <f t="shared" si="53"/>
        <v>4388.3131692493207</v>
      </c>
      <c r="N36" s="67">
        <f t="shared" si="53"/>
        <v>31849.474702239542</v>
      </c>
      <c r="O36" s="67">
        <f t="shared" si="53"/>
        <v>6080.71733216128</v>
      </c>
      <c r="P36" s="67">
        <f t="shared" si="53"/>
        <v>10266.43287976092</v>
      </c>
      <c r="Q36" s="67">
        <f t="shared" si="53"/>
        <v>8601.2078215803995</v>
      </c>
      <c r="R36" s="67">
        <f t="shared" si="53"/>
        <v>3756.43935407858</v>
      </c>
      <c r="S36" s="17"/>
      <c r="T36" s="28">
        <f>+T37+T38</f>
        <v>125452.02880545393</v>
      </c>
      <c r="U36" s="16"/>
      <c r="V36" s="28">
        <f>+V37+V38</f>
        <v>17752.297640177683</v>
      </c>
      <c r="W36" s="28">
        <f t="shared" ref="W36:Y36" si="54">+W37+W38</f>
        <v>42757.145906206206</v>
      </c>
      <c r="X36" s="28">
        <f t="shared" si="54"/>
        <v>42318.505203650144</v>
      </c>
      <c r="Y36" s="28">
        <f t="shared" si="54"/>
        <v>22624.080055419898</v>
      </c>
      <c r="Z36" s="16"/>
      <c r="AA36" s="28">
        <f>+AA37+AA38</f>
        <v>125452.02880545393</v>
      </c>
      <c r="AB36" s="16"/>
      <c r="AC36" s="28">
        <f t="shared" ref="AC36:AF36" si="55">+AC37+AC38</f>
        <v>17752.297640177683</v>
      </c>
      <c r="AD36" s="28">
        <f t="shared" si="55"/>
        <v>60509.443546383889</v>
      </c>
      <c r="AE36" s="28">
        <f t="shared" si="55"/>
        <v>102827.94875003403</v>
      </c>
      <c r="AF36" s="28">
        <f t="shared" si="55"/>
        <v>125452.02880545393</v>
      </c>
      <c r="AG36" s="16"/>
      <c r="AH36" s="16"/>
    </row>
    <row r="37" spans="1:34" x14ac:dyDescent="0.35">
      <c r="A37" s="12" t="s">
        <v>32</v>
      </c>
      <c r="B37" s="12" t="s">
        <v>25</v>
      </c>
      <c r="C37" s="12"/>
      <c r="D37" s="12"/>
      <c r="E37" s="12"/>
      <c r="F37" s="12"/>
      <c r="G37" s="10">
        <v>2116.0474444444399</v>
      </c>
      <c r="H37" s="10">
        <v>2116.0474444444399</v>
      </c>
      <c r="I37" s="10">
        <v>1360.5767777777801</v>
      </c>
      <c r="J37" s="10">
        <v>2116.0474444444399</v>
      </c>
      <c r="K37" s="10">
        <v>2116.0474444444399</v>
      </c>
      <c r="L37" s="10">
        <v>1360.5767777777801</v>
      </c>
      <c r="M37" s="10">
        <v>1360.5767777777801</v>
      </c>
      <c r="N37" s="10">
        <v>2116.0474444444399</v>
      </c>
      <c r="O37" s="10">
        <v>1360.5767777777801</v>
      </c>
      <c r="P37" s="10">
        <v>2116.0474444444399</v>
      </c>
      <c r="Q37" s="10">
        <v>2181.83844444444</v>
      </c>
      <c r="R37" s="10">
        <v>1360.8267777777801</v>
      </c>
      <c r="S37" s="17"/>
      <c r="T37" s="10">
        <f>SUM(G37:Q37)+R37</f>
        <v>21681.256999999983</v>
      </c>
      <c r="U37" s="16"/>
      <c r="V37" s="17">
        <f>SUM(G37:I37)</f>
        <v>5592.6716666666598</v>
      </c>
      <c r="W37" s="17">
        <f>SUM(J37:L37)</f>
        <v>5592.6716666666598</v>
      </c>
      <c r="X37" s="17">
        <f>SUM(M37:O37)</f>
        <v>4837.201</v>
      </c>
      <c r="Y37" s="17">
        <f>SUM(P37:R37)</f>
        <v>5658.71266666666</v>
      </c>
      <c r="Z37" s="16"/>
      <c r="AA37" s="10">
        <f t="shared" ref="AA37" si="56">SUM(V37:Y37)</f>
        <v>21681.25699999998</v>
      </c>
      <c r="AB37" s="16"/>
      <c r="AC37" s="17">
        <f>V37</f>
        <v>5592.6716666666598</v>
      </c>
      <c r="AD37" s="17">
        <f t="shared" ref="AD37:AF38" si="57">AC37+W37</f>
        <v>11185.34333333332</v>
      </c>
      <c r="AE37" s="17">
        <f t="shared" si="57"/>
        <v>16022.544333333321</v>
      </c>
      <c r="AF37" s="17">
        <f t="shared" si="57"/>
        <v>21681.25699999998</v>
      </c>
      <c r="AG37" s="16"/>
      <c r="AH37" s="16"/>
    </row>
    <row r="38" spans="1:34" x14ac:dyDescent="0.35">
      <c r="A38" s="12" t="s">
        <v>33</v>
      </c>
      <c r="B38" s="12" t="s">
        <v>26</v>
      </c>
      <c r="C38" s="12"/>
      <c r="D38" s="12"/>
      <c r="E38" s="12"/>
      <c r="F38" s="12"/>
      <c r="G38" s="10">
        <v>3065.5622636912199</v>
      </c>
      <c r="H38" s="10">
        <v>4385.0191350388804</v>
      </c>
      <c r="I38" s="10">
        <v>4709.0445747809199</v>
      </c>
      <c r="J38" s="10">
        <v>28241.4763291167</v>
      </c>
      <c r="K38" s="10">
        <v>6511.1382380017203</v>
      </c>
      <c r="L38" s="10">
        <v>2411.8596724211202</v>
      </c>
      <c r="M38" s="10">
        <v>3027.7363914715402</v>
      </c>
      <c r="N38" s="10">
        <v>29733.427257795101</v>
      </c>
      <c r="O38" s="10">
        <v>4720.1405543834999</v>
      </c>
      <c r="P38" s="10">
        <v>8150.3854353164797</v>
      </c>
      <c r="Q38" s="10">
        <v>6419.3693771359603</v>
      </c>
      <c r="R38" s="10">
        <v>2395.6125763007999</v>
      </c>
      <c r="S38" s="17"/>
      <c r="T38" s="10">
        <f>SUM(G38:Q38)+R38</f>
        <v>103770.77180545394</v>
      </c>
      <c r="U38" s="16"/>
      <c r="V38" s="17">
        <f>SUM(G38:I38)</f>
        <v>12159.625973511022</v>
      </c>
      <c r="W38" s="17">
        <f>SUM(J38:L38)</f>
        <v>37164.474239539544</v>
      </c>
      <c r="X38" s="17">
        <f>SUM(M38:O38)</f>
        <v>37481.304203650143</v>
      </c>
      <c r="Y38" s="17">
        <f>SUM(P38:R38)</f>
        <v>16965.367388753239</v>
      </c>
      <c r="Z38" s="16"/>
      <c r="AA38" s="10">
        <f t="shared" ref="AA38" si="58">SUM(V38:Y38)</f>
        <v>103770.77180545394</v>
      </c>
      <c r="AB38" s="16"/>
      <c r="AC38" s="17">
        <f>V38</f>
        <v>12159.625973511022</v>
      </c>
      <c r="AD38" s="17">
        <f t="shared" si="57"/>
        <v>49324.100213050566</v>
      </c>
      <c r="AE38" s="17">
        <f t="shared" si="57"/>
        <v>86805.404416700709</v>
      </c>
      <c r="AF38" s="17">
        <f t="shared" si="57"/>
        <v>103770.77180545394</v>
      </c>
      <c r="AG38" s="16"/>
      <c r="AH38" s="16"/>
    </row>
    <row r="39" spans="1:34" x14ac:dyDescent="0.35"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7"/>
      <c r="T39" s="30"/>
    </row>
    <row r="40" spans="1:34" x14ac:dyDescent="0.35">
      <c r="A40" s="21" t="s">
        <v>74</v>
      </c>
      <c r="B40" s="21"/>
      <c r="C40" s="21"/>
      <c r="D40" s="21"/>
      <c r="E40" s="21"/>
      <c r="F40" s="21"/>
      <c r="G40" s="29">
        <f>G27+G29+G33-G36-G34</f>
        <v>38587.057601951528</v>
      </c>
      <c r="H40" s="29">
        <f t="shared" ref="H40:Q40" si="59">H27+H29+H33-H36-H34</f>
        <v>15701.104851277227</v>
      </c>
      <c r="I40" s="29">
        <f t="shared" si="59"/>
        <v>30706.046208937252</v>
      </c>
      <c r="J40" s="29">
        <f>J27+J29+J33-J36-J34</f>
        <v>-8942.1173617014319</v>
      </c>
      <c r="K40" s="29">
        <f t="shared" si="59"/>
        <v>58236.369662908153</v>
      </c>
      <c r="L40" s="29">
        <f t="shared" si="59"/>
        <v>22584.681094992524</v>
      </c>
      <c r="M40" s="29">
        <f t="shared" si="59"/>
        <v>964.73243659784475</v>
      </c>
      <c r="N40" s="29">
        <f t="shared" si="59"/>
        <v>-8701.270978282304</v>
      </c>
      <c r="O40" s="29">
        <f t="shared" si="59"/>
        <v>27932.190101783854</v>
      </c>
      <c r="P40" s="29">
        <f t="shared" si="59"/>
        <v>712.41520805395703</v>
      </c>
      <c r="Q40" s="29">
        <f t="shared" si="59"/>
        <v>-1763.1082434347109</v>
      </c>
      <c r="R40" s="29">
        <f>R27+R29+R33-R36-R34</f>
        <v>43408.798751984883</v>
      </c>
      <c r="S40" s="17"/>
      <c r="T40" s="29">
        <f>T27+T29+T33-T36-T34</f>
        <v>219426.89933506859</v>
      </c>
      <c r="U40" s="16"/>
      <c r="V40" s="29">
        <f>V27+V29+V33-V36-V34</f>
        <v>84994.208662166042</v>
      </c>
      <c r="W40" s="29">
        <f>W27+W29+W33-W36-W34</f>
        <v>71878.933396199223</v>
      </c>
      <c r="X40" s="29">
        <f t="shared" ref="X40:Y40" si="60">X27+X29+X33-X36-X34</f>
        <v>20195.651560099315</v>
      </c>
      <c r="Y40" s="29">
        <f t="shared" si="60"/>
        <v>42358.105716604186</v>
      </c>
      <c r="Z40" s="16"/>
      <c r="AA40" s="29">
        <f>AA27+AA29+AA33-AA36-AA34</f>
        <v>219426.89933506883</v>
      </c>
      <c r="AB40" s="16"/>
      <c r="AC40" s="29">
        <f>AC27+AC29+AC33-AC36-AC34</f>
        <v>84994.208662166042</v>
      </c>
      <c r="AD40" s="29">
        <f t="shared" ref="AD40:AE40" si="61">AD27+AD29+AD33-AD36-AD34</f>
        <v>156873.14205836534</v>
      </c>
      <c r="AE40" s="29">
        <f t="shared" si="61"/>
        <v>177068.79361846473</v>
      </c>
      <c r="AF40" s="29">
        <f>AF27+AF29+AF33-AF36-AF34</f>
        <v>219426.89933506883</v>
      </c>
      <c r="AG40" s="16"/>
      <c r="AH40" s="16"/>
    </row>
    <row r="41" spans="1:34" s="62" customFormat="1" x14ac:dyDescent="0.35">
      <c r="A41" s="49" t="s">
        <v>30</v>
      </c>
      <c r="B41" s="49"/>
      <c r="C41" s="49"/>
      <c r="D41" s="49"/>
      <c r="E41" s="49"/>
      <c r="F41" s="49"/>
      <c r="G41" s="60">
        <f>+G27+G20</f>
        <v>44624.303512727638</v>
      </c>
      <c r="H41" s="60">
        <f t="shared" ref="H41:R41" si="62">+H27+H20</f>
        <v>20192.454577426975</v>
      </c>
      <c r="I41" s="60">
        <f t="shared" si="62"/>
        <v>42241.369497972708</v>
      </c>
      <c r="J41" s="60">
        <f t="shared" si="62"/>
        <v>28049.328461987418</v>
      </c>
      <c r="K41" s="60">
        <f t="shared" si="62"/>
        <v>14539.963957059204</v>
      </c>
      <c r="L41" s="60">
        <f t="shared" si="62"/>
        <v>35045.891253884824</v>
      </c>
      <c r="M41" s="60">
        <f>+M27+M20</f>
        <v>10785.611905888432</v>
      </c>
      <c r="N41" s="60">
        <f t="shared" si="62"/>
        <v>18434.434545810167</v>
      </c>
      <c r="O41" s="60">
        <f t="shared" si="62"/>
        <v>40339.990934344925</v>
      </c>
      <c r="P41" s="60">
        <f t="shared" si="62"/>
        <v>19067.972836868561</v>
      </c>
      <c r="Q41" s="60">
        <f t="shared" si="62"/>
        <v>16579.134388767616</v>
      </c>
      <c r="R41" s="60">
        <f t="shared" si="62"/>
        <v>63374.321923267424</v>
      </c>
      <c r="S41" s="49"/>
      <c r="T41" s="60">
        <f>+T27+T20</f>
        <v>353274.77779600571</v>
      </c>
      <c r="U41" s="49"/>
      <c r="V41" s="60">
        <f>+V27+V20</f>
        <v>107058.12758812735</v>
      </c>
      <c r="W41" s="60">
        <f t="shared" ref="W41:Y41" si="63">+W27+W20</f>
        <v>77635.183672931453</v>
      </c>
      <c r="X41" s="60">
        <f t="shared" si="63"/>
        <v>69560.037386043463</v>
      </c>
      <c r="Y41" s="60">
        <f t="shared" si="63"/>
        <v>99021.42914890364</v>
      </c>
      <c r="Z41" s="49"/>
      <c r="AA41" s="60">
        <f>+AA27+AA20</f>
        <v>353274.77779600595</v>
      </c>
      <c r="AB41" s="49"/>
      <c r="AC41" s="60">
        <f t="shared" ref="AC41:AF41" si="64">+AC27+AC20</f>
        <v>107058.12758812735</v>
      </c>
      <c r="AD41" s="60">
        <f t="shared" si="64"/>
        <v>184693.31126105884</v>
      </c>
      <c r="AE41" s="60">
        <f t="shared" si="64"/>
        <v>254253.34864710236</v>
      </c>
      <c r="AF41" s="60">
        <f t="shared" si="64"/>
        <v>353274.77779600595</v>
      </c>
      <c r="AG41" s="61"/>
      <c r="AH41" s="61"/>
    </row>
    <row r="42" spans="1:34" x14ac:dyDescent="0.35">
      <c r="A42" s="16"/>
      <c r="B42" s="16"/>
      <c r="C42" s="16"/>
      <c r="D42" s="16"/>
      <c r="E42" s="16"/>
      <c r="F42" s="16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x14ac:dyDescent="0.35">
      <c r="A43" s="63"/>
      <c r="B43" s="18"/>
      <c r="C43" s="18"/>
      <c r="D43" s="18"/>
      <c r="E43" s="18"/>
      <c r="F43" s="18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6"/>
      <c r="T43" s="19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x14ac:dyDescent="0.35">
      <c r="A44" s="63"/>
      <c r="B44" s="16"/>
      <c r="C44" s="16"/>
      <c r="D44" s="16"/>
      <c r="E44" s="16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6"/>
      <c r="T44" s="10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7" spans="1:34" x14ac:dyDescent="0.35">
      <c r="G47">
        <v>24456.607017630002</v>
      </c>
      <c r="H47">
        <v>18795.695973870002</v>
      </c>
      <c r="I47">
        <v>22461.666798530001</v>
      </c>
      <c r="J47">
        <v>20336.253428409997</v>
      </c>
      <c r="K47">
        <v>23835.796012579998</v>
      </c>
      <c r="L47">
        <v>18232.854392840029</v>
      </c>
      <c r="M47">
        <v>20982.243346039955</v>
      </c>
      <c r="N47">
        <v>18442.427089889945</v>
      </c>
      <c r="O47">
        <v>25811.32841966</v>
      </c>
      <c r="P47">
        <v>24366.047580800001</v>
      </c>
      <c r="Q47">
        <v>18918.388458310004</v>
      </c>
      <c r="R47">
        <v>40664.08730735007</v>
      </c>
    </row>
    <row r="48" spans="1:34" x14ac:dyDescent="0.35">
      <c r="G48" s="24">
        <f>G16-G47</f>
        <v>-100.12801763000243</v>
      </c>
      <c r="H48" s="24">
        <f t="shared" ref="H48:L48" si="65">H16-H47</f>
        <v>5604.6681170390912</v>
      </c>
      <c r="I48" s="24">
        <f t="shared" si="65"/>
        <v>885.65129237909059</v>
      </c>
      <c r="J48" s="24">
        <f t="shared" si="65"/>
        <v>5525.7406624990945</v>
      </c>
      <c r="K48" s="24">
        <f t="shared" si="65"/>
        <v>3396.7360783290933</v>
      </c>
      <c r="L48" s="24">
        <f t="shared" si="65"/>
        <v>8583.3986071599793</v>
      </c>
    </row>
    <row r="49" spans="7:12" x14ac:dyDescent="0.35">
      <c r="G49" s="34">
        <f>G48/G47</f>
        <v>-4.0941091116123872E-3</v>
      </c>
      <c r="H49" s="34">
        <f t="shared" ref="H49:L49" si="66">H48/H47</f>
        <v>0.2981889111651288</v>
      </c>
      <c r="I49" s="34">
        <f t="shared" si="66"/>
        <v>3.9429455539650861E-2</v>
      </c>
      <c r="J49" s="34">
        <f t="shared" si="66"/>
        <v>0.27171871564009753</v>
      </c>
      <c r="K49" s="34">
        <f t="shared" si="66"/>
        <v>0.14250566989818053</v>
      </c>
      <c r="L49" s="34">
        <f t="shared" si="66"/>
        <v>0.47076548861875661</v>
      </c>
    </row>
  </sheetData>
  <pageMargins left="0.7" right="0.7" top="0.75" bottom="0.75" header="0.3" footer="0.3"/>
  <pageSetup paperSize="5" scale="51" orientation="landscape" r:id="rId1"/>
  <ignoredErrors>
    <ignoredError sqref="V16:AF16 V21:AF38" formulaRange="1"/>
    <ignoredError sqref="V17:AF2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zoomScaleNormal="100" workbookViewId="0">
      <pane xSplit="6" ySplit="5" topLeftCell="G29" activePane="bottomRight" state="frozen"/>
      <selection pane="topRight" activeCell="G1" sqref="G1"/>
      <selection pane="bottomLeft" activeCell="A6" sqref="A6"/>
      <selection pane="bottomRight" activeCell="J24" sqref="J24"/>
    </sheetView>
  </sheetViews>
  <sheetFormatPr defaultColWidth="9.08984375" defaultRowHeight="14.5" x14ac:dyDescent="0.35"/>
  <cols>
    <col min="1" max="4" width="2.6328125" customWidth="1"/>
    <col min="5" max="5" width="23.08984375" customWidth="1"/>
    <col min="6" max="6" width="4.54296875" customWidth="1"/>
    <col min="7" max="11" width="10.6328125" customWidth="1"/>
    <col min="12" max="12" width="10.54296875" customWidth="1"/>
    <col min="13" max="18" width="10.6328125" customWidth="1"/>
    <col min="19" max="19" width="3.90625" customWidth="1"/>
    <col min="20" max="20" width="18.6328125" style="24" bestFit="1" customWidth="1"/>
    <col min="21" max="21" width="3.6328125" customWidth="1"/>
    <col min="23" max="23" width="16.1796875" customWidth="1"/>
    <col min="24" max="24" width="12.90625" customWidth="1"/>
  </cols>
  <sheetData>
    <row r="1" spans="1:24" ht="17.5" x14ac:dyDescent="0.35">
      <c r="A1" s="84" t="s">
        <v>92</v>
      </c>
      <c r="B1" s="2"/>
      <c r="C1" s="1"/>
      <c r="D1" s="2"/>
      <c r="E1" s="1"/>
      <c r="F1" s="2"/>
      <c r="G1" s="2"/>
      <c r="H1" s="2"/>
      <c r="I1" s="2"/>
      <c r="J1" s="2"/>
      <c r="K1" s="2"/>
      <c r="L1" s="72"/>
      <c r="S1" s="16"/>
      <c r="U1" s="16"/>
      <c r="V1" s="16"/>
      <c r="W1" s="16"/>
      <c r="X1" s="16"/>
    </row>
    <row r="2" spans="1:24" ht="17.5" x14ac:dyDescent="0.35">
      <c r="A2" s="1"/>
      <c r="B2" s="3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P2" s="33"/>
      <c r="Q2" s="31"/>
      <c r="R2" s="32"/>
      <c r="S2" s="16"/>
      <c r="U2" s="16"/>
      <c r="V2" s="16"/>
      <c r="W2" s="16"/>
      <c r="X2" s="16"/>
    </row>
    <row r="3" spans="1:24" ht="17.5" x14ac:dyDescent="0.35">
      <c r="A3" s="2"/>
      <c r="B3" s="2"/>
      <c r="C3" s="3"/>
      <c r="D3" s="2"/>
      <c r="E3" s="2"/>
      <c r="F3" s="2"/>
      <c r="G3" s="3"/>
      <c r="H3" s="1"/>
      <c r="I3" s="1"/>
      <c r="J3" s="1"/>
      <c r="K3" s="1"/>
      <c r="L3" s="1"/>
      <c r="P3" s="34"/>
      <c r="Q3" s="35"/>
      <c r="R3" s="23"/>
      <c r="S3" s="16"/>
      <c r="T3" s="36"/>
      <c r="U3" s="16"/>
      <c r="V3" s="16"/>
      <c r="W3" s="16"/>
      <c r="X3" s="16"/>
    </row>
    <row r="4" spans="1:24" ht="17.5" x14ac:dyDescent="0.35">
      <c r="A4" s="2"/>
      <c r="B4" s="2"/>
      <c r="C4" s="3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6"/>
      <c r="T4" s="89" t="s">
        <v>79</v>
      </c>
      <c r="U4" s="16"/>
      <c r="V4" s="16"/>
      <c r="W4" s="16"/>
      <c r="X4" s="16"/>
    </row>
    <row r="5" spans="1:24" x14ac:dyDescent="0.35">
      <c r="A5" s="5"/>
      <c r="B5" s="5"/>
      <c r="C5" s="5"/>
      <c r="D5" s="5"/>
      <c r="E5" s="6"/>
      <c r="F5" s="6"/>
      <c r="G5" s="7" t="s">
        <v>1</v>
      </c>
      <c r="H5" s="7" t="s">
        <v>2</v>
      </c>
      <c r="I5" s="8" t="s">
        <v>3</v>
      </c>
      <c r="J5" s="8" t="s">
        <v>4</v>
      </c>
      <c r="K5" s="8" t="s">
        <v>5</v>
      </c>
      <c r="L5" s="8" t="s">
        <v>81</v>
      </c>
      <c r="M5" s="8" t="s">
        <v>6</v>
      </c>
      <c r="N5" s="7" t="s">
        <v>7</v>
      </c>
      <c r="O5" s="7" t="s">
        <v>8</v>
      </c>
      <c r="P5" s="8" t="s">
        <v>9</v>
      </c>
      <c r="Q5" s="8" t="s">
        <v>10</v>
      </c>
      <c r="R5" s="8" t="s">
        <v>11</v>
      </c>
      <c r="S5" s="16"/>
      <c r="T5" s="85" t="s">
        <v>91</v>
      </c>
      <c r="U5" s="16"/>
      <c r="V5" s="16"/>
      <c r="W5" s="16"/>
      <c r="X5" s="16"/>
    </row>
    <row r="6" spans="1:24" x14ac:dyDescent="0.35">
      <c r="A6" s="6"/>
      <c r="B6" s="6"/>
      <c r="C6" s="6"/>
      <c r="D6" s="6"/>
      <c r="E6" s="6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6"/>
      <c r="T6" s="10"/>
      <c r="U6" s="16"/>
      <c r="V6" s="16"/>
      <c r="W6" s="16"/>
      <c r="X6" s="16"/>
    </row>
    <row r="7" spans="1:24" x14ac:dyDescent="0.35">
      <c r="A7" s="11" t="s">
        <v>12</v>
      </c>
      <c r="B7" s="12"/>
      <c r="C7" s="12"/>
      <c r="D7" s="12"/>
      <c r="E7" s="12"/>
      <c r="F7" s="12"/>
      <c r="G7" s="28">
        <f>SUM(G8:G12)</f>
        <v>113431.03551272764</v>
      </c>
      <c r="H7" s="28">
        <f t="shared" ref="H7:R7" si="0">SUM(H8:H12)</f>
        <v>79051.856868336079</v>
      </c>
      <c r="I7" s="28">
        <f t="shared" si="0"/>
        <v>101006.30378888181</v>
      </c>
      <c r="J7" s="28">
        <f t="shared" si="0"/>
        <v>89125.49259507122</v>
      </c>
      <c r="K7" s="28">
        <f t="shared" si="0"/>
        <v>77261.479160817675</v>
      </c>
      <c r="L7" s="28">
        <f t="shared" si="0"/>
        <v>97111.179405143776</v>
      </c>
      <c r="M7" s="28">
        <f t="shared" si="0"/>
        <v>70119.988383268384</v>
      </c>
      <c r="N7" s="28">
        <f t="shared" si="0"/>
        <v>76715.015706741236</v>
      </c>
      <c r="O7" s="28">
        <f t="shared" si="0"/>
        <v>99188.137986432237</v>
      </c>
      <c r="P7" s="28">
        <f t="shared" si="0"/>
        <v>81853.355274716581</v>
      </c>
      <c r="Q7" s="28">
        <f t="shared" si="0"/>
        <v>72605.488597204589</v>
      </c>
      <c r="R7" s="28">
        <f t="shared" si="0"/>
        <v>126062.97742575561</v>
      </c>
      <c r="S7" s="17"/>
      <c r="T7" s="28">
        <f>SUM(T8:T12)</f>
        <v>1083532.3107050967</v>
      </c>
      <c r="U7" s="16"/>
      <c r="V7" s="16"/>
      <c r="W7" s="16"/>
    </row>
    <row r="8" spans="1:24" x14ac:dyDescent="0.35">
      <c r="A8" s="12"/>
      <c r="B8" s="12" t="s">
        <v>13</v>
      </c>
      <c r="C8" s="12"/>
      <c r="D8" s="12"/>
      <c r="E8" s="12"/>
      <c r="F8" s="12"/>
      <c r="G8" s="13">
        <f>'Revenue Details'!G10</f>
        <v>109930.50660329527</v>
      </c>
      <c r="H8" s="13">
        <f>'Revenue Details'!H10</f>
        <v>75815.074031139433</v>
      </c>
      <c r="I8" s="13">
        <f>'Revenue Details'!I10</f>
        <v>86942.862672638119</v>
      </c>
      <c r="J8" s="13">
        <f>'Revenue Details'!J10</f>
        <v>77730.614508896717</v>
      </c>
      <c r="K8" s="13">
        <f>'Revenue Details'!K10</f>
        <v>72765.34368814333</v>
      </c>
      <c r="L8" s="13">
        <f>'Revenue Details'!L10</f>
        <v>90444.022676228575</v>
      </c>
      <c r="M8" s="13">
        <f>'Revenue Details'!M10</f>
        <v>66167.072666787513</v>
      </c>
      <c r="N8" s="13">
        <f>'Revenue Details'!N10</f>
        <v>72029.065360940906</v>
      </c>
      <c r="O8" s="13">
        <f>'Revenue Details'!O10</f>
        <v>91012.59595691548</v>
      </c>
      <c r="P8" s="13">
        <f>'Revenue Details'!P10</f>
        <v>75790.320702966914</v>
      </c>
      <c r="Q8" s="13">
        <f>'Revenue Details'!Q10</f>
        <v>66744.356629415532</v>
      </c>
      <c r="R8" s="13">
        <f>'Revenue Details'!R10</f>
        <v>93996.475207727883</v>
      </c>
      <c r="S8" s="17"/>
      <c r="T8" s="10">
        <f>SUM(G8:Q8)+R8</f>
        <v>979368.31070509565</v>
      </c>
      <c r="U8" s="16"/>
      <c r="V8" s="16"/>
      <c r="W8" s="16"/>
    </row>
    <row r="9" spans="1:24" x14ac:dyDescent="0.35">
      <c r="A9" s="12"/>
      <c r="B9" s="12" t="s">
        <v>14</v>
      </c>
      <c r="C9" s="12"/>
      <c r="D9" s="12"/>
      <c r="E9" s="12"/>
      <c r="F9" s="12"/>
      <c r="G9" s="13">
        <f>'Revenue Details'!G43</f>
        <v>3104.2082268734598</v>
      </c>
      <c r="H9" s="13">
        <f>'Revenue Details'!H43</f>
        <v>3236.7828371966393</v>
      </c>
      <c r="I9" s="13">
        <f>'Revenue Details'!I43</f>
        <v>13927.20682022714</v>
      </c>
      <c r="J9" s="13">
        <f>'Revenue Details'!J43</f>
        <v>11152.392277283599</v>
      </c>
      <c r="K9" s="13">
        <f>'Revenue Details'!K43</f>
        <v>4144.8182578761753</v>
      </c>
      <c r="L9" s="13">
        <f>'Revenue Details'!L43</f>
        <v>6667.1567289151999</v>
      </c>
      <c r="M9" s="13">
        <f>'Revenue Details'!M43</f>
        <v>3835.3232216651641</v>
      </c>
      <c r="N9" s="13">
        <f>'Revenue Details'!N43</f>
        <v>4519.6524498459294</v>
      </c>
      <c r="O9" s="13">
        <f>'Revenue Details'!O43</f>
        <v>6864.8647204733998</v>
      </c>
      <c r="P9" s="13">
        <f>'Revenue Details'!P43</f>
        <v>5885.6709424070104</v>
      </c>
      <c r="Q9" s="13">
        <f>'Revenue Details'!Q43</f>
        <v>5621.31468085098</v>
      </c>
      <c r="R9" s="13">
        <f>'Revenue Details'!R43</f>
        <v>28378.608836386444</v>
      </c>
      <c r="S9" s="17"/>
      <c r="T9" s="10">
        <f>SUM(G9:Q9)+R9</f>
        <v>97338.00000000115</v>
      </c>
      <c r="U9" s="16"/>
      <c r="V9" s="16"/>
      <c r="W9" s="16"/>
    </row>
    <row r="10" spans="1:24" x14ac:dyDescent="0.35">
      <c r="A10" s="14"/>
      <c r="B10" s="14" t="s">
        <v>15</v>
      </c>
      <c r="C10" s="14"/>
      <c r="D10" s="12"/>
      <c r="E10" s="12"/>
      <c r="F10" s="12"/>
      <c r="G10" s="13">
        <f>'Revenue Details'!G45</f>
        <v>0</v>
      </c>
      <c r="H10" s="13">
        <f>'Revenue Details'!H45</f>
        <v>0</v>
      </c>
      <c r="I10" s="13">
        <f>'Revenue Details'!I45</f>
        <v>0</v>
      </c>
      <c r="J10" s="13">
        <f>'Revenue Details'!J45</f>
        <v>0</v>
      </c>
      <c r="K10" s="13">
        <f>'Revenue Details'!K45</f>
        <v>0</v>
      </c>
      <c r="L10" s="13">
        <f>'Revenue Details'!L45</f>
        <v>0</v>
      </c>
      <c r="M10" s="13">
        <f>'Revenue Details'!M45</f>
        <v>0</v>
      </c>
      <c r="N10" s="13">
        <f>'Revenue Details'!N45</f>
        <v>0</v>
      </c>
      <c r="O10" s="13">
        <f>'Revenue Details'!O45</f>
        <v>152.3854118213942</v>
      </c>
      <c r="P10" s="13">
        <f>'Revenue Details'!P45</f>
        <v>150.12410293757881</v>
      </c>
      <c r="Q10" s="13">
        <f>'Revenue Details'!Q45</f>
        <v>0</v>
      </c>
      <c r="R10" s="13">
        <f>'Revenue Details'!R45</f>
        <v>1189.0904852410267</v>
      </c>
      <c r="S10" s="17"/>
      <c r="T10" s="10">
        <f>SUM(G10:Q10)+R10</f>
        <v>1491.5999999999997</v>
      </c>
      <c r="U10" s="16"/>
      <c r="V10" s="16"/>
      <c r="W10" s="16"/>
    </row>
    <row r="11" spans="1:24" x14ac:dyDescent="0.35">
      <c r="A11" s="12"/>
      <c r="B11" s="12" t="s">
        <v>16</v>
      </c>
      <c r="C11" s="12"/>
      <c r="D11" s="12"/>
      <c r="E11" s="12"/>
      <c r="F11" s="12"/>
      <c r="G11" s="13">
        <f>'Revenue Details'!G47</f>
        <v>0</v>
      </c>
      <c r="H11" s="13">
        <f>'Revenue Details'!H47</f>
        <v>0</v>
      </c>
      <c r="I11" s="13">
        <f>'Revenue Details'!I47</f>
        <v>0</v>
      </c>
      <c r="J11" s="13">
        <f>'Revenue Details'!J47</f>
        <v>0</v>
      </c>
      <c r="K11" s="13">
        <f>'Revenue Details'!K47</f>
        <v>0</v>
      </c>
      <c r="L11" s="13">
        <f>'Revenue Details'!L47</f>
        <v>0</v>
      </c>
      <c r="M11" s="13">
        <f>'Revenue Details'!M47</f>
        <v>0</v>
      </c>
      <c r="N11" s="13">
        <f>'Revenue Details'!N47</f>
        <v>0</v>
      </c>
      <c r="O11" s="13">
        <f>'Revenue Details'!O47</f>
        <v>0</v>
      </c>
      <c r="P11" s="13">
        <f>'Revenue Details'!P47</f>
        <v>0</v>
      </c>
      <c r="Q11" s="13">
        <f>'Revenue Details'!Q47</f>
        <v>0</v>
      </c>
      <c r="R11" s="13">
        <f>'Revenue Details'!R47</f>
        <v>0</v>
      </c>
      <c r="S11" s="17"/>
      <c r="T11" s="10">
        <f>SUM(G11:Q11)+R11</f>
        <v>0</v>
      </c>
      <c r="U11" s="16"/>
      <c r="V11" s="16"/>
      <c r="W11" s="16"/>
    </row>
    <row r="12" spans="1:24" x14ac:dyDescent="0.35">
      <c r="A12" s="14"/>
      <c r="B12" s="14" t="s">
        <v>17</v>
      </c>
      <c r="C12" s="14"/>
      <c r="D12" s="12"/>
      <c r="E12" s="12"/>
      <c r="F12" s="12"/>
      <c r="G12" s="13">
        <f>'Revenue Details'!G49</f>
        <v>396.32068255889857</v>
      </c>
      <c r="H12" s="13">
        <f>'Revenue Details'!H49</f>
        <v>0</v>
      </c>
      <c r="I12" s="13">
        <f>'Revenue Details'!I49</f>
        <v>136.23429601653575</v>
      </c>
      <c r="J12" s="13">
        <f>'Revenue Details'!J49</f>
        <v>242.48580889091585</v>
      </c>
      <c r="K12" s="13">
        <f>'Revenue Details'!K49</f>
        <v>351.31721479816446</v>
      </c>
      <c r="L12" s="13">
        <f>'Revenue Details'!L49</f>
        <v>0</v>
      </c>
      <c r="M12" s="13">
        <f>'Revenue Details'!M49</f>
        <v>117.59249481570212</v>
      </c>
      <c r="N12" s="13">
        <f>'Revenue Details'!N49</f>
        <v>166.29789595439888</v>
      </c>
      <c r="O12" s="13">
        <f>'Revenue Details'!O49</f>
        <v>1158.2918972219629</v>
      </c>
      <c r="P12" s="13">
        <f>'Revenue Details'!P49</f>
        <v>27.239526405077203</v>
      </c>
      <c r="Q12" s="13">
        <f>'Revenue Details'!Q49</f>
        <v>239.81728693808114</v>
      </c>
      <c r="R12" s="13">
        <f>'Revenue Details'!R49</f>
        <v>2498.8028964002624</v>
      </c>
      <c r="S12" s="17"/>
      <c r="T12" s="10">
        <f>SUM(G12:Q12)+R12</f>
        <v>5334.4</v>
      </c>
      <c r="U12" s="16"/>
      <c r="V12" s="16"/>
      <c r="W12" s="16"/>
    </row>
    <row r="13" spans="1:24" x14ac:dyDescent="0.35">
      <c r="A13" s="14"/>
      <c r="B13" s="12"/>
      <c r="C13" s="12"/>
      <c r="D13" s="12"/>
      <c r="E13" s="12"/>
      <c r="F13" s="12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7"/>
      <c r="T13" s="30"/>
      <c r="U13" s="16"/>
      <c r="V13" s="16"/>
      <c r="W13" s="16"/>
    </row>
    <row r="14" spans="1:24" x14ac:dyDescent="0.35">
      <c r="A14" s="11" t="s">
        <v>18</v>
      </c>
      <c r="B14" s="12"/>
      <c r="C14" s="12"/>
      <c r="D14" s="12"/>
      <c r="E14" s="12"/>
      <c r="F14" s="12"/>
      <c r="G14" s="67">
        <f t="shared" ref="G14:R14" si="1">+G15+G24</f>
        <v>100357.39200000002</v>
      </c>
      <c r="H14" s="67">
        <f t="shared" si="1"/>
        <v>103585.28027280126</v>
      </c>
      <c r="I14" s="67">
        <f t="shared" si="1"/>
        <v>104074.18696450916</v>
      </c>
      <c r="J14" s="67">
        <f t="shared" si="1"/>
        <v>105483.95925932113</v>
      </c>
      <c r="K14" s="67">
        <f t="shared" si="1"/>
        <v>107953.59599999996</v>
      </c>
      <c r="L14" s="67">
        <f t="shared" si="1"/>
        <v>108986.79215916587</v>
      </c>
      <c r="M14" s="67">
        <f t="shared" si="1"/>
        <v>97028.197999999931</v>
      </c>
      <c r="N14" s="67">
        <f t="shared" si="1"/>
        <v>100361.00999999998</v>
      </c>
      <c r="O14" s="67">
        <f t="shared" si="1"/>
        <v>132986.43599999999</v>
      </c>
      <c r="P14" s="67">
        <f t="shared" si="1"/>
        <v>105133.60099999998</v>
      </c>
      <c r="Q14" s="67">
        <f t="shared" si="1"/>
        <v>104880.59101507676</v>
      </c>
      <c r="R14" s="67">
        <f t="shared" si="1"/>
        <v>103360.0909622059</v>
      </c>
      <c r="S14" s="17"/>
      <c r="T14" s="28">
        <f>+T15+T24</f>
        <v>1274191.1336330797</v>
      </c>
      <c r="U14" s="16"/>
      <c r="V14" s="16"/>
      <c r="W14" s="16"/>
      <c r="X14" s="87"/>
    </row>
    <row r="15" spans="1:24" x14ac:dyDescent="0.35">
      <c r="A15" s="11"/>
      <c r="B15" s="11" t="s">
        <v>19</v>
      </c>
      <c r="C15" s="12"/>
      <c r="D15" s="12"/>
      <c r="E15" s="12"/>
      <c r="F15" s="12"/>
      <c r="G15" s="67">
        <f t="shared" ref="G15:R15" si="2">+G16+G17+G20</f>
        <v>93809.356000000014</v>
      </c>
      <c r="H15" s="67">
        <f t="shared" si="2"/>
        <v>98439.938999999955</v>
      </c>
      <c r="I15" s="67">
        <f t="shared" si="2"/>
        <v>98165.868000000002</v>
      </c>
      <c r="J15" s="67">
        <f t="shared" si="2"/>
        <v>98924.75800000006</v>
      </c>
      <c r="K15" s="67">
        <f t="shared" si="2"/>
        <v>100767.70699999997</v>
      </c>
      <c r="L15" s="67">
        <f t="shared" si="2"/>
        <v>102388.55699999988</v>
      </c>
      <c r="M15" s="67">
        <f t="shared" si="2"/>
        <v>88638.160999999935</v>
      </c>
      <c r="N15" s="67">
        <f t="shared" si="2"/>
        <v>94549.321999999986</v>
      </c>
      <c r="O15" s="67">
        <f t="shared" si="2"/>
        <v>126985.96499999998</v>
      </c>
      <c r="P15" s="67">
        <f t="shared" si="2"/>
        <v>97443.627999999982</v>
      </c>
      <c r="Q15" s="67">
        <f t="shared" si="2"/>
        <v>98202.54800000001</v>
      </c>
      <c r="R15" s="67">
        <f t="shared" si="2"/>
        <v>96134.96480028014</v>
      </c>
      <c r="S15" s="17"/>
      <c r="T15" s="28">
        <f>+T16+T17+T20</f>
        <v>1194450.7738002797</v>
      </c>
      <c r="U15" s="16"/>
      <c r="V15" s="16"/>
      <c r="W15" s="16"/>
      <c r="X15" s="87"/>
    </row>
    <row r="16" spans="1:24" x14ac:dyDescent="0.35">
      <c r="A16" s="12"/>
      <c r="B16" s="12"/>
      <c r="C16" s="12" t="s">
        <v>20</v>
      </c>
      <c r="D16" s="12"/>
      <c r="E16" s="12"/>
      <c r="F16" s="12"/>
      <c r="G16" s="10">
        <v>35600.5</v>
      </c>
      <c r="H16" s="10">
        <v>36946.076000000001</v>
      </c>
      <c r="I16" s="10">
        <v>40334.235999999997</v>
      </c>
      <c r="J16" s="10">
        <v>38797.343000000001</v>
      </c>
      <c r="K16" s="10">
        <v>35253.921999999999</v>
      </c>
      <c r="L16" s="41">
        <v>38845.333999999981</v>
      </c>
      <c r="M16" s="41">
        <v>36333.434000000001</v>
      </c>
      <c r="N16" s="69">
        <v>30661.72</v>
      </c>
      <c r="O16" s="69">
        <v>36780.437999999995</v>
      </c>
      <c r="P16" s="69">
        <v>34365.699999999997</v>
      </c>
      <c r="Q16" s="69">
        <v>30092.588</v>
      </c>
      <c r="R16" s="69">
        <f>34237.909+0.0364423611317761</f>
        <v>34237.945442361131</v>
      </c>
      <c r="S16" s="17"/>
      <c r="T16" s="10">
        <f t="shared" ref="T16:T22" si="3">SUM(G16:Q16)+R16</f>
        <v>428249.23644236103</v>
      </c>
      <c r="U16" s="16"/>
      <c r="V16" s="16"/>
      <c r="W16" s="16"/>
      <c r="X16" s="87"/>
    </row>
    <row r="17" spans="1:24" x14ac:dyDescent="0.35">
      <c r="A17" s="12"/>
      <c r="B17" s="12"/>
      <c r="C17" s="12" t="s">
        <v>21</v>
      </c>
      <c r="D17" s="12"/>
      <c r="E17" s="12"/>
      <c r="F17" s="12"/>
      <c r="G17" s="13">
        <f t="shared" ref="G17:R17" si="4">G18+G19</f>
        <v>46233.578000000001</v>
      </c>
      <c r="H17" s="13">
        <f t="shared" si="4"/>
        <v>42165.921999999962</v>
      </c>
      <c r="I17" s="13">
        <f t="shared" si="4"/>
        <v>42694.391999999993</v>
      </c>
      <c r="J17" s="13">
        <f t="shared" si="4"/>
        <v>43581.658000000061</v>
      </c>
      <c r="K17" s="13">
        <f t="shared" si="4"/>
        <v>42539.809999999961</v>
      </c>
      <c r="L17" s="13">
        <f t="shared" si="4"/>
        <v>42898.964999999895</v>
      </c>
      <c r="M17" s="13">
        <f t="shared" si="4"/>
        <v>42736.266999999927</v>
      </c>
      <c r="N17" s="70">
        <f t="shared" si="4"/>
        <v>42778.20499999998</v>
      </c>
      <c r="O17" s="70">
        <f t="shared" si="4"/>
        <v>75237.464999999982</v>
      </c>
      <c r="P17" s="70">
        <f>P18+P19</f>
        <v>46555.673999999992</v>
      </c>
      <c r="Q17" s="70">
        <f t="shared" si="4"/>
        <v>45988.575000000012</v>
      </c>
      <c r="R17" s="70">
        <f t="shared" si="4"/>
        <v>41835.35835791898</v>
      </c>
      <c r="S17" s="17"/>
      <c r="T17" s="10">
        <f>SUM(G17:Q17)+R17</f>
        <v>555245.86935791874</v>
      </c>
      <c r="U17" s="16"/>
      <c r="V17" s="16"/>
      <c r="W17" s="16"/>
      <c r="X17" s="87"/>
    </row>
    <row r="18" spans="1:24" x14ac:dyDescent="0.35">
      <c r="A18" s="12"/>
      <c r="B18" s="12"/>
      <c r="C18" s="12"/>
      <c r="D18" s="12" t="s">
        <v>22</v>
      </c>
      <c r="E18" s="12"/>
      <c r="F18" s="12"/>
      <c r="G18" s="10">
        <v>41567.21</v>
      </c>
      <c r="H18" s="10">
        <v>40072.302360004644</v>
      </c>
      <c r="I18" s="10">
        <v>40044.955535289046</v>
      </c>
      <c r="J18" s="10">
        <v>38997.472712621304</v>
      </c>
      <c r="K18" s="10">
        <v>39760.250324073444</v>
      </c>
      <c r="L18" s="10">
        <v>40070.681672501392</v>
      </c>
      <c r="M18" s="10">
        <v>40782.266876929702</v>
      </c>
      <c r="N18" s="17">
        <v>39823.486011079003</v>
      </c>
      <c r="O18" s="17">
        <v>72529.520333678491</v>
      </c>
      <c r="P18" s="17">
        <v>43431.153820974643</v>
      </c>
      <c r="Q18" s="17">
        <v>43267.343176424045</v>
      </c>
      <c r="R18" s="17">
        <f>39114.157176424-0.0452206914196722</f>
        <v>39114.11195573258</v>
      </c>
      <c r="S18" s="17"/>
      <c r="T18" s="10">
        <f t="shared" si="3"/>
        <v>519460.75477930834</v>
      </c>
      <c r="U18" s="16"/>
      <c r="V18" s="16"/>
      <c r="W18" s="16"/>
      <c r="X18" s="87"/>
    </row>
    <row r="19" spans="1:24" x14ac:dyDescent="0.35">
      <c r="A19" s="12"/>
      <c r="B19" s="12"/>
      <c r="C19" s="12"/>
      <c r="D19" s="12" t="s">
        <v>23</v>
      </c>
      <c r="E19" s="12"/>
      <c r="F19" s="12"/>
      <c r="G19" s="10">
        <v>4666.3680000000004</v>
      </c>
      <c r="H19" s="10">
        <v>2093.619639995316</v>
      </c>
      <c r="I19" s="10">
        <v>2649.436464710946</v>
      </c>
      <c r="J19" s="10">
        <v>4584.1852873787557</v>
      </c>
      <c r="K19" s="10">
        <v>2779.5596759265159</v>
      </c>
      <c r="L19" s="10">
        <v>2828.283327498506</v>
      </c>
      <c r="M19" s="10">
        <v>1954.000123070226</v>
      </c>
      <c r="N19" s="17">
        <v>2954.7189889209758</v>
      </c>
      <c r="O19" s="17">
        <v>2707.9446663214858</v>
      </c>
      <c r="P19" s="17">
        <v>3124.5201790253459</v>
      </c>
      <c r="Q19" s="17">
        <v>2721.2318235759658</v>
      </c>
      <c r="R19" s="17">
        <f>2721.23182357597+0.0145786104330909</f>
        <v>2721.246402186403</v>
      </c>
      <c r="S19" s="17"/>
      <c r="T19" s="10">
        <f t="shared" si="3"/>
        <v>35785.114578610439</v>
      </c>
      <c r="U19" s="16"/>
      <c r="V19" s="16"/>
      <c r="W19" s="16"/>
      <c r="X19" s="87"/>
    </row>
    <row r="20" spans="1:24" x14ac:dyDescent="0.35">
      <c r="A20" s="12"/>
      <c r="B20" s="12"/>
      <c r="C20" s="12" t="s">
        <v>24</v>
      </c>
      <c r="D20" s="12"/>
      <c r="E20" s="12"/>
      <c r="F20" s="12"/>
      <c r="G20" s="13">
        <f>+G21+G22</f>
        <v>11975.278</v>
      </c>
      <c r="H20" s="13">
        <f t="shared" ref="H20:R20" si="5">+H21+H22</f>
        <v>19327.940999999999</v>
      </c>
      <c r="I20" s="13">
        <f t="shared" si="5"/>
        <v>15137.24</v>
      </c>
      <c r="J20" s="13">
        <f t="shared" si="5"/>
        <v>16545.757000000005</v>
      </c>
      <c r="K20" s="13">
        <f t="shared" si="5"/>
        <v>22973.974999999999</v>
      </c>
      <c r="L20" s="13">
        <f t="shared" si="5"/>
        <v>20644.258000000002</v>
      </c>
      <c r="M20" s="13">
        <f t="shared" si="5"/>
        <v>9568.4599999999991</v>
      </c>
      <c r="N20" s="70">
        <f t="shared" si="5"/>
        <v>21109.396999999997</v>
      </c>
      <c r="O20" s="70">
        <f t="shared" si="5"/>
        <v>14968.062</v>
      </c>
      <c r="P20" s="70">
        <f t="shared" si="5"/>
        <v>16522.254000000001</v>
      </c>
      <c r="Q20" s="70">
        <f t="shared" si="5"/>
        <v>22121.384999999998</v>
      </c>
      <c r="R20" s="70">
        <f t="shared" si="5"/>
        <v>20061.661000000026</v>
      </c>
      <c r="S20" s="17"/>
      <c r="T20" s="10">
        <f t="shared" si="3"/>
        <v>210955.66800000001</v>
      </c>
      <c r="U20" s="16"/>
      <c r="V20" s="16"/>
      <c r="W20" s="16"/>
      <c r="X20" s="87"/>
    </row>
    <row r="21" spans="1:24" x14ac:dyDescent="0.35">
      <c r="A21" s="12"/>
      <c r="B21" s="12"/>
      <c r="C21" s="12"/>
      <c r="D21" s="12" t="s">
        <v>25</v>
      </c>
      <c r="E21" s="12"/>
      <c r="F21" s="12"/>
      <c r="G21" s="10">
        <v>1804.444</v>
      </c>
      <c r="H21" s="10">
        <v>10603.634</v>
      </c>
      <c r="I21" s="10">
        <v>13127.819</v>
      </c>
      <c r="J21" s="10">
        <v>1662.7339999999999</v>
      </c>
      <c r="K21" s="10">
        <v>16956.447</v>
      </c>
      <c r="L21" s="10">
        <v>8424.0519999999997</v>
      </c>
      <c r="M21" s="10">
        <v>1771.3630000000001</v>
      </c>
      <c r="N21" s="17">
        <v>10599.953</v>
      </c>
      <c r="O21" s="17">
        <v>13127.819</v>
      </c>
      <c r="P21" s="17">
        <v>1662.001</v>
      </c>
      <c r="Q21" s="17">
        <v>16180.191999999999</v>
      </c>
      <c r="R21" s="17">
        <f>8924.052-0.000999999974737875</f>
        <v>8924.0510000000249</v>
      </c>
      <c r="S21" s="17"/>
      <c r="T21" s="10">
        <f t="shared" si="3"/>
        <v>104844.50900000001</v>
      </c>
      <c r="U21" s="16"/>
      <c r="V21" s="16"/>
      <c r="W21" s="16"/>
      <c r="X21" s="87"/>
    </row>
    <row r="22" spans="1:24" x14ac:dyDescent="0.35">
      <c r="A22" s="12"/>
      <c r="B22" s="12"/>
      <c r="C22" s="12"/>
      <c r="D22" s="12" t="s">
        <v>26</v>
      </c>
      <c r="E22" s="12"/>
      <c r="F22" s="12"/>
      <c r="G22" s="10">
        <v>10170.834000000001</v>
      </c>
      <c r="H22" s="10">
        <v>8724.3070000000007</v>
      </c>
      <c r="I22" s="10">
        <v>2009.421</v>
      </c>
      <c r="J22" s="10">
        <f>14955.283-72.2599999999948</f>
        <v>14883.023000000005</v>
      </c>
      <c r="K22" s="10">
        <v>6017.5280000000002</v>
      </c>
      <c r="L22" s="10">
        <v>12220.206</v>
      </c>
      <c r="M22" s="10">
        <v>7797.0969999999998</v>
      </c>
      <c r="N22" s="17">
        <v>10509.444</v>
      </c>
      <c r="O22" s="17">
        <v>1840.2429999999999</v>
      </c>
      <c r="P22" s="17">
        <v>14860.253000000001</v>
      </c>
      <c r="Q22" s="17">
        <v>5941.1930000000002</v>
      </c>
      <c r="R22" s="17">
        <v>11137.61</v>
      </c>
      <c r="S22" s="17"/>
      <c r="T22" s="10">
        <f t="shared" si="3"/>
        <v>106111.159</v>
      </c>
      <c r="U22" s="16"/>
      <c r="V22" s="16"/>
      <c r="W22" s="16"/>
      <c r="X22" s="87"/>
    </row>
    <row r="23" spans="1:24" x14ac:dyDescent="0.35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7"/>
      <c r="T23" s="10"/>
      <c r="U23" s="16"/>
      <c r="V23" s="16"/>
      <c r="W23" s="16"/>
    </row>
    <row r="24" spans="1:24" x14ac:dyDescent="0.35">
      <c r="A24" s="11"/>
      <c r="B24" s="11" t="s">
        <v>27</v>
      </c>
      <c r="C24" s="11"/>
      <c r="D24" s="11"/>
      <c r="E24" s="11"/>
      <c r="F24" s="11"/>
      <c r="G24" s="67">
        <f t="shared" ref="G24:R24" si="6">+G25</f>
        <v>6548.0360000000001</v>
      </c>
      <c r="H24" s="67">
        <f t="shared" si="6"/>
        <v>5145.3412728013</v>
      </c>
      <c r="I24" s="67">
        <f t="shared" si="6"/>
        <v>5908.318964509157</v>
      </c>
      <c r="J24" s="67">
        <f t="shared" si="6"/>
        <v>6559.2012593210602</v>
      </c>
      <c r="K24" s="67">
        <f t="shared" si="6"/>
        <v>7185.8890000000001</v>
      </c>
      <c r="L24" s="67">
        <f t="shared" si="6"/>
        <v>6598.2351591659799</v>
      </c>
      <c r="M24" s="67">
        <f t="shared" si="6"/>
        <v>8390.0370000000003</v>
      </c>
      <c r="N24" s="67">
        <f t="shared" si="6"/>
        <v>5811.6880000000001</v>
      </c>
      <c r="O24" s="67">
        <f t="shared" si="6"/>
        <v>6000.4709999999995</v>
      </c>
      <c r="P24" s="67">
        <f t="shared" si="6"/>
        <v>7689.973</v>
      </c>
      <c r="Q24" s="67">
        <f t="shared" si="6"/>
        <v>6678.0430150767497</v>
      </c>
      <c r="R24" s="67">
        <f t="shared" si="6"/>
        <v>7225.1261619257593</v>
      </c>
      <c r="S24" s="17"/>
      <c r="T24" s="28">
        <f>+T25</f>
        <v>79740.359832799993</v>
      </c>
      <c r="U24" s="16"/>
      <c r="V24" s="16"/>
      <c r="W24" s="16"/>
    </row>
    <row r="25" spans="1:24" x14ac:dyDescent="0.35">
      <c r="A25" s="12"/>
      <c r="B25" s="12"/>
      <c r="C25" s="12" t="s">
        <v>28</v>
      </c>
      <c r="D25" s="12"/>
      <c r="E25" s="12"/>
      <c r="F25" s="12"/>
      <c r="G25" s="13">
        <f>4548.036+2000</f>
        <v>6548.0360000000001</v>
      </c>
      <c r="H25" s="13">
        <f>7145.3412728013-2000</f>
        <v>5145.3412728013</v>
      </c>
      <c r="I25" s="13">
        <v>5908.318964509157</v>
      </c>
      <c r="J25" s="13">
        <v>6559.2012593210602</v>
      </c>
      <c r="K25" s="13">
        <v>7185.8890000000001</v>
      </c>
      <c r="L25" s="13">
        <v>6598.2351591659799</v>
      </c>
      <c r="M25" s="13">
        <v>8390.0370000000003</v>
      </c>
      <c r="N25" s="13">
        <v>5811.6880000000001</v>
      </c>
      <c r="O25" s="13">
        <v>6000.4709999999995</v>
      </c>
      <c r="P25" s="13">
        <v>7689.973</v>
      </c>
      <c r="Q25" s="13">
        <v>6678.0430150767497</v>
      </c>
      <c r="R25" s="13">
        <f>7225.12590310215+0.000258823609328829</f>
        <v>7225.1261619257593</v>
      </c>
      <c r="S25" s="17"/>
      <c r="T25" s="10">
        <f>SUM(G25:Q25)+R25</f>
        <v>79740.359832799993</v>
      </c>
      <c r="U25" s="16"/>
      <c r="V25" s="16"/>
      <c r="W25" s="16"/>
      <c r="X25" s="88"/>
    </row>
    <row r="26" spans="1:24" x14ac:dyDescent="0.35">
      <c r="A26" s="12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7"/>
      <c r="T26" s="15"/>
      <c r="U26" s="16"/>
      <c r="V26" s="16"/>
      <c r="W26" s="16"/>
    </row>
    <row r="27" spans="1:24" x14ac:dyDescent="0.35">
      <c r="A27" s="11" t="s">
        <v>29</v>
      </c>
      <c r="B27" s="12"/>
      <c r="C27" s="12"/>
      <c r="D27" s="12"/>
      <c r="E27" s="12"/>
      <c r="F27" s="12"/>
      <c r="G27" s="67">
        <f>+G7-G14</f>
        <v>13073.64351272762</v>
      </c>
      <c r="H27" s="67">
        <f t="shared" ref="H27:R27" si="7">+H7-H14</f>
        <v>-24533.423404465182</v>
      </c>
      <c r="I27" s="67">
        <f t="shared" si="7"/>
        <v>-3067.8831756273576</v>
      </c>
      <c r="J27" s="67">
        <f t="shared" si="7"/>
        <v>-16358.466664249907</v>
      </c>
      <c r="K27" s="67">
        <f t="shared" si="7"/>
        <v>-30692.116839182287</v>
      </c>
      <c r="L27" s="67">
        <f t="shared" si="7"/>
        <v>-11875.612754022091</v>
      </c>
      <c r="M27" s="67">
        <f>+M7-M14</f>
        <v>-26908.209616731547</v>
      </c>
      <c r="N27" s="67">
        <f t="shared" si="7"/>
        <v>-23645.994293258744</v>
      </c>
      <c r="O27" s="67">
        <f t="shared" si="7"/>
        <v>-33798.29801356775</v>
      </c>
      <c r="P27" s="67">
        <f t="shared" si="7"/>
        <v>-23280.245725283399</v>
      </c>
      <c r="Q27" s="67">
        <f t="shared" si="7"/>
        <v>-32275.102417872171</v>
      </c>
      <c r="R27" s="67">
        <f t="shared" si="7"/>
        <v>22702.886463549716</v>
      </c>
      <c r="S27" s="17"/>
      <c r="T27" s="28">
        <f>+T7-T14</f>
        <v>-190658.82292798301</v>
      </c>
      <c r="U27" s="16"/>
      <c r="V27" s="16"/>
      <c r="W27" s="16"/>
    </row>
    <row r="28" spans="1:24" x14ac:dyDescent="0.35">
      <c r="A28" s="20"/>
      <c r="B28" s="16"/>
      <c r="C28" s="12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0"/>
      <c r="R28" s="39"/>
      <c r="S28" s="17"/>
      <c r="T28" s="10"/>
      <c r="U28" s="16"/>
      <c r="V28" s="16"/>
      <c r="W28" s="16"/>
    </row>
    <row r="29" spans="1:24" s="62" customFormat="1" x14ac:dyDescent="0.35">
      <c r="A29" s="49" t="s">
        <v>30</v>
      </c>
      <c r="B29" s="49"/>
      <c r="C29" s="49"/>
      <c r="D29" s="49"/>
      <c r="E29" s="49"/>
      <c r="F29" s="49"/>
      <c r="G29" s="60">
        <f t="shared" ref="G29:R29" si="8">+G27+G20</f>
        <v>25048.921512727618</v>
      </c>
      <c r="H29" s="60">
        <f t="shared" si="8"/>
        <v>-5205.4824044651832</v>
      </c>
      <c r="I29" s="60">
        <f t="shared" si="8"/>
        <v>12069.356824372642</v>
      </c>
      <c r="J29" s="60">
        <f t="shared" si="8"/>
        <v>187.29033575009817</v>
      </c>
      <c r="K29" s="60">
        <f t="shared" si="8"/>
        <v>-7718.1418391822881</v>
      </c>
      <c r="L29" s="60">
        <f t="shared" si="8"/>
        <v>8768.6452459779102</v>
      </c>
      <c r="M29" s="60">
        <f t="shared" si="8"/>
        <v>-17339.749616731548</v>
      </c>
      <c r="N29" s="60">
        <f t="shared" si="8"/>
        <v>-2536.5972932587465</v>
      </c>
      <c r="O29" s="60">
        <f t="shared" si="8"/>
        <v>-18830.236013567752</v>
      </c>
      <c r="P29" s="60">
        <f t="shared" si="8"/>
        <v>-6757.9917252833984</v>
      </c>
      <c r="Q29" s="60">
        <f t="shared" si="8"/>
        <v>-10153.717417872173</v>
      </c>
      <c r="R29" s="60">
        <f t="shared" si="8"/>
        <v>42764.547463549738</v>
      </c>
      <c r="S29" s="49"/>
      <c r="T29" s="60">
        <f>+T27+T20</f>
        <v>20296.845072016993</v>
      </c>
      <c r="U29" s="49"/>
      <c r="V29" s="61"/>
      <c r="W29" s="61"/>
    </row>
    <row r="30" spans="1:24" x14ac:dyDescent="0.35">
      <c r="A30" s="16"/>
      <c r="B30" s="16"/>
      <c r="C30" s="16"/>
      <c r="D30" s="16"/>
      <c r="E30" s="16"/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7"/>
      <c r="U30" s="16"/>
      <c r="V30" s="16"/>
      <c r="W30" s="16"/>
    </row>
    <row r="31" spans="1:24" x14ac:dyDescent="0.35">
      <c r="A31" s="63"/>
      <c r="B31" s="18"/>
      <c r="C31" s="18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6"/>
      <c r="T31" s="19"/>
      <c r="U31" s="16"/>
      <c r="V31" s="16"/>
      <c r="W31" s="16"/>
    </row>
    <row r="32" spans="1:24" x14ac:dyDescent="0.35">
      <c r="A32" s="63"/>
      <c r="B32" s="16"/>
      <c r="C32" s="16"/>
      <c r="D32" s="16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0"/>
      <c r="U32" s="16"/>
      <c r="V32" s="16"/>
      <c r="W32" s="16"/>
    </row>
    <row r="33" spans="7:18" x14ac:dyDescent="0.35"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7:18" x14ac:dyDescent="0.35">
      <c r="R34" s="24"/>
    </row>
  </sheetData>
  <pageMargins left="0.25" right="0.25" top="0.75" bottom="0.75" header="0.3" footer="0.3"/>
  <pageSetup paperSize="5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8"/>
  <sheetViews>
    <sheetView tabSelected="1" zoomScale="80" zoomScaleNormal="80" workbookViewId="0">
      <selection activeCell="W42" sqref="W42"/>
    </sheetView>
  </sheetViews>
  <sheetFormatPr defaultColWidth="9.08984375" defaultRowHeight="14" x14ac:dyDescent="0.3"/>
  <cols>
    <col min="1" max="4" width="2.6328125" style="16" customWidth="1"/>
    <col min="5" max="5" width="25.6328125" style="16" customWidth="1"/>
    <col min="6" max="6" width="3" style="16" customWidth="1"/>
    <col min="7" max="18" width="10.90625" style="16" customWidth="1"/>
    <col min="19" max="19" width="3.6328125" style="16" customWidth="1"/>
    <col min="20" max="20" width="23.54296875" style="16" customWidth="1"/>
    <col min="21" max="21" width="7.90625" style="16" bestFit="1" customWidth="1"/>
    <col min="22" max="16384" width="9.08984375" style="16"/>
  </cols>
  <sheetData>
    <row r="1" spans="1:21" ht="18" x14ac:dyDescent="0.4">
      <c r="A1" s="47" t="s">
        <v>90</v>
      </c>
    </row>
    <row r="2" spans="1:21" ht="18" x14ac:dyDescent="0.4">
      <c r="A2" s="50"/>
      <c r="B2" s="46" t="s">
        <v>0</v>
      </c>
      <c r="T2" s="71"/>
      <c r="U2" s="17"/>
    </row>
    <row r="3" spans="1:21" x14ac:dyDescent="0.3">
      <c r="G3" s="17"/>
      <c r="H3" s="17"/>
      <c r="I3" s="17"/>
    </row>
    <row r="4" spans="1:21" x14ac:dyDescent="0.3">
      <c r="A4" s="53"/>
      <c r="B4" s="53"/>
      <c r="C4" s="53"/>
      <c r="D4" s="53"/>
      <c r="E4" s="53"/>
      <c r="F4" s="53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T4" s="59"/>
    </row>
    <row r="5" spans="1:21" x14ac:dyDescent="0.3"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T5" s="51" t="s">
        <v>79</v>
      </c>
    </row>
    <row r="6" spans="1:21" x14ac:dyDescent="0.3">
      <c r="A6" s="56" t="s">
        <v>35</v>
      </c>
      <c r="B6" s="53"/>
      <c r="C6" s="53"/>
      <c r="D6" s="53"/>
      <c r="E6" s="53"/>
      <c r="F6" s="53"/>
      <c r="G6" s="55" t="s">
        <v>1</v>
      </c>
      <c r="H6" s="55" t="s">
        <v>2</v>
      </c>
      <c r="I6" s="55" t="s">
        <v>36</v>
      </c>
      <c r="J6" s="55" t="s">
        <v>37</v>
      </c>
      <c r="K6" s="55" t="s">
        <v>5</v>
      </c>
      <c r="L6" s="55" t="s">
        <v>81</v>
      </c>
      <c r="M6" s="55" t="s">
        <v>6</v>
      </c>
      <c r="N6" s="55" t="s">
        <v>7</v>
      </c>
      <c r="O6" s="55" t="s">
        <v>8</v>
      </c>
      <c r="P6" s="55" t="s">
        <v>9</v>
      </c>
      <c r="Q6" s="55" t="s">
        <v>10</v>
      </c>
      <c r="R6" s="55" t="s">
        <v>11</v>
      </c>
      <c r="T6" s="52" t="s">
        <v>91</v>
      </c>
    </row>
    <row r="8" spans="1:21" x14ac:dyDescent="0.3">
      <c r="A8" s="20" t="s">
        <v>38</v>
      </c>
      <c r="G8" s="57">
        <f>G10+G43+G45+G47+G49</f>
        <v>113431.03551272764</v>
      </c>
      <c r="H8" s="57">
        <f t="shared" ref="H8:N8" si="0">H10+H43+H45+H47+H49</f>
        <v>79051.856868336079</v>
      </c>
      <c r="I8" s="57">
        <f t="shared" si="0"/>
        <v>101006.30378888181</v>
      </c>
      <c r="J8" s="57">
        <f t="shared" si="0"/>
        <v>89125.49259507122</v>
      </c>
      <c r="K8" s="57">
        <f t="shared" si="0"/>
        <v>77261.479160817675</v>
      </c>
      <c r="L8" s="57">
        <f t="shared" si="0"/>
        <v>97111.179405143776</v>
      </c>
      <c r="M8" s="57">
        <f t="shared" si="0"/>
        <v>70119.988383268384</v>
      </c>
      <c r="N8" s="57">
        <f t="shared" si="0"/>
        <v>76715.015706741236</v>
      </c>
      <c r="O8" s="57">
        <f t="shared" ref="O8:R8" si="1">O10+O43+O45+O47+O49</f>
        <v>99188.137986432237</v>
      </c>
      <c r="P8" s="57">
        <f t="shared" si="1"/>
        <v>81853.355274716581</v>
      </c>
      <c r="Q8" s="57">
        <f t="shared" si="1"/>
        <v>72605.488597204589</v>
      </c>
      <c r="R8" s="57">
        <f t="shared" si="1"/>
        <v>126062.97742575561</v>
      </c>
      <c r="T8" s="28">
        <f>SUM(G8:R8)</f>
        <v>1083532.3107050967</v>
      </c>
      <c r="U8" s="64"/>
    </row>
    <row r="9" spans="1:21" x14ac:dyDescent="0.3">
      <c r="A9" s="20"/>
      <c r="C9" s="16" t="s">
        <v>39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T9" s="57"/>
      <c r="U9" s="64"/>
    </row>
    <row r="10" spans="1:21" x14ac:dyDescent="0.3">
      <c r="A10" s="20" t="s">
        <v>13</v>
      </c>
      <c r="G10" s="57">
        <f>G12+G20+G35</f>
        <v>109930.50660329527</v>
      </c>
      <c r="H10" s="57">
        <f t="shared" ref="H10:N10" si="2">H12+H20+H35</f>
        <v>75815.074031139433</v>
      </c>
      <c r="I10" s="57">
        <f t="shared" si="2"/>
        <v>86942.862672638119</v>
      </c>
      <c r="J10" s="57">
        <f t="shared" si="2"/>
        <v>77730.614508896717</v>
      </c>
      <c r="K10" s="57">
        <f t="shared" si="2"/>
        <v>72765.34368814333</v>
      </c>
      <c r="L10" s="57">
        <f t="shared" si="2"/>
        <v>90444.022676228575</v>
      </c>
      <c r="M10" s="57">
        <f t="shared" si="2"/>
        <v>66167.072666787513</v>
      </c>
      <c r="N10" s="57">
        <f t="shared" si="2"/>
        <v>72029.065360940906</v>
      </c>
      <c r="O10" s="57">
        <f t="shared" ref="O10:R10" si="3">O12+O20+O35</f>
        <v>91012.59595691548</v>
      </c>
      <c r="P10" s="57">
        <f t="shared" si="3"/>
        <v>75790.320702966914</v>
      </c>
      <c r="Q10" s="57">
        <f t="shared" si="3"/>
        <v>66744.356629415532</v>
      </c>
      <c r="R10" s="57">
        <f t="shared" si="3"/>
        <v>93996.475207727883</v>
      </c>
      <c r="T10" s="28">
        <f>SUM(G10:R10)</f>
        <v>979368.31070509565</v>
      </c>
      <c r="U10" s="64"/>
    </row>
    <row r="11" spans="1:21" x14ac:dyDescent="0.3"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T11" s="58"/>
      <c r="U11" s="64"/>
    </row>
    <row r="12" spans="1:21" x14ac:dyDescent="0.3">
      <c r="B12" s="16" t="s">
        <v>40</v>
      </c>
      <c r="G12" s="58">
        <f>SUM(G13:G18)</f>
        <v>55651.673321857532</v>
      </c>
      <c r="H12" s="58">
        <f t="shared" ref="H12:N12" si="4">SUM(H13:H18)</f>
        <v>22177.60156013395</v>
      </c>
      <c r="I12" s="58">
        <f t="shared" si="4"/>
        <v>34760.029826271246</v>
      </c>
      <c r="J12" s="58">
        <f t="shared" si="4"/>
        <v>18969.804942029041</v>
      </c>
      <c r="K12" s="58">
        <f t="shared" si="4"/>
        <v>19455.089077569257</v>
      </c>
      <c r="L12" s="58">
        <f t="shared" si="4"/>
        <v>34291.292934718484</v>
      </c>
      <c r="M12" s="58">
        <f t="shared" si="4"/>
        <v>19383.138760572281</v>
      </c>
      <c r="N12" s="58">
        <f t="shared" si="4"/>
        <v>19748.221890484332</v>
      </c>
      <c r="O12" s="58">
        <f>SUM(O13:O18)</f>
        <v>35922.595066036403</v>
      </c>
      <c r="P12" s="58">
        <f t="shared" ref="P12:R12" si="5">SUM(P13:P18)</f>
        <v>22172.714304785681</v>
      </c>
      <c r="Q12" s="58">
        <f t="shared" si="5"/>
        <v>17463.086420338077</v>
      </c>
      <c r="R12" s="58">
        <f t="shared" si="5"/>
        <v>39489.000935807999</v>
      </c>
      <c r="T12" s="10">
        <f t="shared" ref="T12:T18" si="6">SUM(G12:Q12)+R12</f>
        <v>339484.24904060422</v>
      </c>
      <c r="U12" s="64"/>
    </row>
    <row r="13" spans="1:21" x14ac:dyDescent="0.3">
      <c r="C13" s="16" t="s">
        <v>41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T13" s="10">
        <f t="shared" si="6"/>
        <v>0</v>
      </c>
      <c r="U13" s="64"/>
    </row>
    <row r="14" spans="1:21" x14ac:dyDescent="0.3">
      <c r="C14" s="16" t="s">
        <v>42</v>
      </c>
      <c r="G14" s="45">
        <v>37333.743863974865</v>
      </c>
      <c r="H14" s="45">
        <v>2563.7512000072916</v>
      </c>
      <c r="I14" s="45">
        <v>16200.485886568451</v>
      </c>
      <c r="J14" s="45">
        <v>1960.0454889698979</v>
      </c>
      <c r="K14" s="45">
        <v>1054.7301097549014</v>
      </c>
      <c r="L14" s="45">
        <v>16940.445264362108</v>
      </c>
      <c r="M14" s="45">
        <v>754.90009467813979</v>
      </c>
      <c r="N14" s="45">
        <v>818.37552916128811</v>
      </c>
      <c r="O14" s="45">
        <v>16460.239080724692</v>
      </c>
      <c r="P14" s="45">
        <v>1094.4849714056575</v>
      </c>
      <c r="Q14" s="45">
        <v>898.49215503101209</v>
      </c>
      <c r="R14" s="45">
        <v>19211.555559625478</v>
      </c>
      <c r="S14" s="45"/>
      <c r="T14" s="10">
        <f t="shared" si="6"/>
        <v>115291.24920426379</v>
      </c>
      <c r="U14" s="64"/>
    </row>
    <row r="15" spans="1:21" x14ac:dyDescent="0.3">
      <c r="C15" s="16" t="s">
        <v>43</v>
      </c>
      <c r="G15" s="45">
        <v>14920.772222232517</v>
      </c>
      <c r="H15" s="45">
        <v>13605.692736395618</v>
      </c>
      <c r="I15" s="45">
        <v>13675.160794132507</v>
      </c>
      <c r="J15" s="45">
        <v>13723.252874641064</v>
      </c>
      <c r="K15" s="45">
        <v>14730.120882674797</v>
      </c>
      <c r="L15" s="45">
        <v>13576.397525960349</v>
      </c>
      <c r="M15" s="45">
        <v>14014.212675478031</v>
      </c>
      <c r="N15" s="45">
        <v>14286.590690600606</v>
      </c>
      <c r="O15" s="45">
        <v>14779.497887698408</v>
      </c>
      <c r="P15" s="45">
        <v>14972.014232791975</v>
      </c>
      <c r="Q15" s="45">
        <v>13390.855173474498</v>
      </c>
      <c r="R15" s="45">
        <v>13120.219743567966</v>
      </c>
      <c r="S15" s="45"/>
      <c r="T15" s="10">
        <f t="shared" si="6"/>
        <v>168794.78743964835</v>
      </c>
      <c r="U15" s="64"/>
    </row>
    <row r="16" spans="1:21" x14ac:dyDescent="0.3">
      <c r="C16" s="16" t="s">
        <v>44</v>
      </c>
      <c r="G16" s="45">
        <v>105.27187870881056</v>
      </c>
      <c r="H16" s="45">
        <v>643.78797875685359</v>
      </c>
      <c r="I16" s="45">
        <v>142.14459532134882</v>
      </c>
      <c r="J16" s="45">
        <v>263.97785369226528</v>
      </c>
      <c r="K16" s="45">
        <v>116.63519423319505</v>
      </c>
      <c r="L16" s="45">
        <v>190.84652236716312</v>
      </c>
      <c r="M16" s="45">
        <v>462.75324568211857</v>
      </c>
      <c r="N16" s="45">
        <v>616.17474569149886</v>
      </c>
      <c r="O16" s="45">
        <v>380.4795047397397</v>
      </c>
      <c r="P16" s="45">
        <v>785.94621843102254</v>
      </c>
      <c r="Q16" s="45">
        <v>98.069519901170111</v>
      </c>
      <c r="R16" s="45">
        <v>144.11024296029251</v>
      </c>
      <c r="S16" s="45"/>
      <c r="T16" s="10">
        <f t="shared" si="6"/>
        <v>3950.1975004854789</v>
      </c>
      <c r="U16" s="64"/>
    </row>
    <row r="17" spans="2:21" x14ac:dyDescent="0.3">
      <c r="C17" s="16" t="s">
        <v>45</v>
      </c>
      <c r="G17" s="45">
        <v>646.44550149540203</v>
      </c>
      <c r="H17" s="45">
        <v>1407.7973943124377</v>
      </c>
      <c r="I17" s="45">
        <v>473.46443764379774</v>
      </c>
      <c r="J17" s="45">
        <v>279.46920514820266</v>
      </c>
      <c r="K17" s="45">
        <v>221.16590357962096</v>
      </c>
      <c r="L17" s="45">
        <v>578.49592986576909</v>
      </c>
      <c r="M17" s="45">
        <v>297.10023240161456</v>
      </c>
      <c r="N17" s="45">
        <v>91.332024648417558</v>
      </c>
      <c r="O17" s="45">
        <v>566.37814650135067</v>
      </c>
      <c r="P17" s="45">
        <v>217.65565837900377</v>
      </c>
      <c r="Q17" s="45">
        <v>477.32741654632315</v>
      </c>
      <c r="R17" s="45">
        <v>4223.4269272798374</v>
      </c>
      <c r="S17" s="45"/>
      <c r="T17" s="10">
        <f t="shared" si="6"/>
        <v>9480.0587778017762</v>
      </c>
      <c r="U17" s="64"/>
    </row>
    <row r="18" spans="2:21" x14ac:dyDescent="0.3">
      <c r="C18" s="16" t="s">
        <v>46</v>
      </c>
      <c r="G18" s="45">
        <v>2645.4398554459435</v>
      </c>
      <c r="H18" s="45">
        <v>3956.5722506617494</v>
      </c>
      <c r="I18" s="45">
        <v>4268.7741126051469</v>
      </c>
      <c r="J18" s="45">
        <v>2743.05951957761</v>
      </c>
      <c r="K18" s="45">
        <v>3332.4369873267442</v>
      </c>
      <c r="L18" s="45">
        <v>3005.1076921630938</v>
      </c>
      <c r="M18" s="45">
        <v>3854.1725123323758</v>
      </c>
      <c r="N18" s="45">
        <v>3935.7489003825231</v>
      </c>
      <c r="O18" s="45">
        <v>3736.0004463722166</v>
      </c>
      <c r="P18" s="45">
        <v>5102.6132237780203</v>
      </c>
      <c r="Q18" s="45">
        <v>2598.3421553850744</v>
      </c>
      <c r="R18" s="45">
        <v>2789.6884623744245</v>
      </c>
      <c r="S18" s="45"/>
      <c r="T18" s="10">
        <f t="shared" si="6"/>
        <v>41967.956118404931</v>
      </c>
      <c r="U18" s="64"/>
    </row>
    <row r="19" spans="2:21" x14ac:dyDescent="0.3"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10"/>
      <c r="U19" s="64"/>
    </row>
    <row r="20" spans="2:21" x14ac:dyDescent="0.3">
      <c r="B20" s="16" t="s">
        <v>47</v>
      </c>
      <c r="G20" s="58">
        <f>SUM(G21:G33)</f>
        <v>25575.500212868257</v>
      </c>
      <c r="H20" s="58">
        <f t="shared" ref="H20:O20" si="7">SUM(H21:H33)</f>
        <v>25301.621387017512</v>
      </c>
      <c r="I20" s="58">
        <f t="shared" si="7"/>
        <v>22941.777111065032</v>
      </c>
      <c r="J20" s="58">
        <f t="shared" si="7"/>
        <v>26432.427341427527</v>
      </c>
      <c r="K20" s="58">
        <f t="shared" si="7"/>
        <v>24580.111457311476</v>
      </c>
      <c r="L20" s="58">
        <f t="shared" si="7"/>
        <v>25281.919432742383</v>
      </c>
      <c r="M20" s="58">
        <f t="shared" si="7"/>
        <v>23091.567719170627</v>
      </c>
      <c r="N20" s="58">
        <f t="shared" si="7"/>
        <v>24797.49627327573</v>
      </c>
      <c r="O20" s="58">
        <f t="shared" si="7"/>
        <v>24676.591298514853</v>
      </c>
      <c r="P20" s="58">
        <f t="shared" ref="P20" si="8">SUM(P21:P33)</f>
        <v>24948.304999960295</v>
      </c>
      <c r="Q20" s="58">
        <f t="shared" ref="Q20" si="9">SUM(Q21:Q33)</f>
        <v>25443.763283285716</v>
      </c>
      <c r="R20" s="58">
        <f t="shared" ref="R20" si="10">SUM(R21:R33)</f>
        <v>25103.920261731499</v>
      </c>
      <c r="S20" s="58"/>
      <c r="T20" s="10">
        <f>SUM(G20:Q20)+R20</f>
        <v>298175.00077837089</v>
      </c>
      <c r="U20" s="64"/>
    </row>
    <row r="21" spans="2:21" x14ac:dyDescent="0.3">
      <c r="C21" s="16" t="s">
        <v>77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68"/>
      <c r="T21" s="83">
        <f>SUM(G21:Q21)+R21</f>
        <v>0</v>
      </c>
      <c r="U21" s="64"/>
    </row>
    <row r="22" spans="2:21" x14ac:dyDescent="0.3">
      <c r="C22" s="16" t="s">
        <v>48</v>
      </c>
      <c r="G22" s="45">
        <v>3003.6894085297217</v>
      </c>
      <c r="H22" s="45">
        <v>3394.8535100131912</v>
      </c>
      <c r="I22" s="45">
        <v>2168.6273639408291</v>
      </c>
      <c r="J22" s="45">
        <v>3463.4608853807385</v>
      </c>
      <c r="K22" s="45">
        <v>2304.7821420063128</v>
      </c>
      <c r="L22" s="45">
        <v>3925.0519354257067</v>
      </c>
      <c r="M22" s="45">
        <v>2078.8522614457106</v>
      </c>
      <c r="N22" s="45">
        <v>3210.4565072284427</v>
      </c>
      <c r="O22" s="45">
        <v>2805.8810894780709</v>
      </c>
      <c r="P22" s="45">
        <v>1435.8707358966924</v>
      </c>
      <c r="Q22" s="45">
        <v>3360.3173453901145</v>
      </c>
      <c r="R22" s="45">
        <v>2399.9296821411976</v>
      </c>
      <c r="S22" s="45"/>
      <c r="T22" s="10">
        <f t="shared" ref="T22:T33" si="11">SUM(G22:Q22)+R22</f>
        <v>33551.77286687673</v>
      </c>
      <c r="U22" s="64"/>
    </row>
    <row r="23" spans="2:21" x14ac:dyDescent="0.3">
      <c r="C23" s="16" t="s">
        <v>49</v>
      </c>
      <c r="G23" s="45">
        <v>313.69218627123189</v>
      </c>
      <c r="H23" s="45">
        <v>12.409547122023971</v>
      </c>
      <c r="I23" s="45">
        <v>4.5863664421209034</v>
      </c>
      <c r="J23" s="45">
        <v>308.6791766358117</v>
      </c>
      <c r="K23" s="45">
        <v>18.940304431137651</v>
      </c>
      <c r="L23" s="45">
        <v>3.6437624239763342</v>
      </c>
      <c r="M23" s="45">
        <v>284.8899378181265</v>
      </c>
      <c r="N23" s="45">
        <v>55.745489559812391</v>
      </c>
      <c r="O23" s="45">
        <v>6.0604979209513941</v>
      </c>
      <c r="P23" s="45">
        <v>327.38101634441995</v>
      </c>
      <c r="Q23" s="45">
        <v>17.5843565795751</v>
      </c>
      <c r="R23" s="45">
        <v>2.1932396136272598</v>
      </c>
      <c r="S23" s="45"/>
      <c r="T23" s="10">
        <f t="shared" si="11"/>
        <v>1355.805881162815</v>
      </c>
      <c r="U23" s="64"/>
    </row>
    <row r="24" spans="2:21" x14ac:dyDescent="0.3">
      <c r="C24" s="16" t="s">
        <v>50</v>
      </c>
      <c r="G24" s="45">
        <v>430.59916225302368</v>
      </c>
      <c r="H24" s="45">
        <v>443.74654328089758</v>
      </c>
      <c r="I24" s="45">
        <v>432.03496211900796</v>
      </c>
      <c r="J24" s="45">
        <v>469.46700542862925</v>
      </c>
      <c r="K24" s="45">
        <v>412.61657846276756</v>
      </c>
      <c r="L24" s="45">
        <v>454.45515835440261</v>
      </c>
      <c r="M24" s="45">
        <v>349.36165088345297</v>
      </c>
      <c r="N24" s="45">
        <v>412.22080894043046</v>
      </c>
      <c r="O24" s="45">
        <v>514.17072749230692</v>
      </c>
      <c r="P24" s="45">
        <v>510.99386523223473</v>
      </c>
      <c r="Q24" s="45">
        <v>448.86932277619985</v>
      </c>
      <c r="R24" s="45">
        <v>399.8496901641663</v>
      </c>
      <c r="S24" s="45"/>
      <c r="T24" s="10">
        <f t="shared" si="11"/>
        <v>5278.3854753875194</v>
      </c>
      <c r="U24" s="64"/>
    </row>
    <row r="25" spans="2:21" x14ac:dyDescent="0.3">
      <c r="C25" s="16" t="s">
        <v>51</v>
      </c>
      <c r="G25" s="45">
        <v>467.44932032556852</v>
      </c>
      <c r="H25" s="45">
        <v>36.409399587603232</v>
      </c>
      <c r="I25" s="45">
        <v>39.049899169734559</v>
      </c>
      <c r="J25" s="45">
        <v>37.674802729731496</v>
      </c>
      <c r="K25" s="45">
        <v>37.156385024033796</v>
      </c>
      <c r="L25" s="45">
        <v>31.028630680381262</v>
      </c>
      <c r="M25" s="45">
        <v>22.945714080145688</v>
      </c>
      <c r="N25" s="45">
        <v>41.978550554473394</v>
      </c>
      <c r="O25" s="45">
        <v>732.87131229026772</v>
      </c>
      <c r="P25" s="45">
        <v>31.257271804210621</v>
      </c>
      <c r="Q25" s="45">
        <v>33.943826829364554</v>
      </c>
      <c r="R25" s="45">
        <v>583.67347676485997</v>
      </c>
      <c r="S25" s="45"/>
      <c r="T25" s="10">
        <f t="shared" si="11"/>
        <v>2095.4385898403743</v>
      </c>
      <c r="U25" s="64"/>
    </row>
    <row r="26" spans="2:21" x14ac:dyDescent="0.3">
      <c r="C26" s="16" t="s">
        <v>52</v>
      </c>
      <c r="G26" s="45">
        <v>4.3206333679184965</v>
      </c>
      <c r="H26" s="83">
        <v>41.295128935696887</v>
      </c>
      <c r="I26" s="45">
        <v>1.2116227384484228</v>
      </c>
      <c r="J26" s="83">
        <v>35.720838739865179</v>
      </c>
      <c r="K26" s="45">
        <v>30.650637416752907</v>
      </c>
      <c r="L26" s="45">
        <v>1.9673091262528215</v>
      </c>
      <c r="M26" s="83">
        <v>0</v>
      </c>
      <c r="N26" s="45">
        <v>39.455811139270843</v>
      </c>
      <c r="O26" s="45">
        <v>0</v>
      </c>
      <c r="P26" s="45">
        <v>0</v>
      </c>
      <c r="Q26" s="45">
        <v>45.602718136617064</v>
      </c>
      <c r="R26" s="45">
        <v>2.6526070078836352</v>
      </c>
      <c r="S26" s="45"/>
      <c r="T26" s="10">
        <f t="shared" si="11"/>
        <v>202.87730660870625</v>
      </c>
      <c r="U26" s="64"/>
    </row>
    <row r="27" spans="2:21" x14ac:dyDescent="0.3">
      <c r="C27" s="16" t="s">
        <v>53</v>
      </c>
      <c r="G27" s="45">
        <v>871.8128486115844</v>
      </c>
      <c r="H27" s="45">
        <v>819.76187894980558</v>
      </c>
      <c r="I27" s="45">
        <v>957.34633618910379</v>
      </c>
      <c r="J27" s="45">
        <v>835.17599647822408</v>
      </c>
      <c r="K27" s="45">
        <v>772.50777103720168</v>
      </c>
      <c r="L27" s="45">
        <v>953.62599092280948</v>
      </c>
      <c r="M27" s="45">
        <v>839.1366634398164</v>
      </c>
      <c r="N27" s="45">
        <v>493.2492855501049</v>
      </c>
      <c r="O27" s="45">
        <v>870.38334128941437</v>
      </c>
      <c r="P27" s="45">
        <v>875.73615952324906</v>
      </c>
      <c r="Q27" s="45">
        <v>935.19582656236184</v>
      </c>
      <c r="R27" s="45">
        <v>812.2358806986764</v>
      </c>
      <c r="S27" s="45"/>
      <c r="T27" s="10">
        <f t="shared" si="11"/>
        <v>10036.167979252352</v>
      </c>
      <c r="U27" s="64"/>
    </row>
    <row r="28" spans="2:21" x14ac:dyDescent="0.3">
      <c r="C28" s="16" t="s">
        <v>54</v>
      </c>
      <c r="G28" s="45">
        <v>308.57903383728768</v>
      </c>
      <c r="H28" s="45">
        <v>300.23108310734438</v>
      </c>
      <c r="I28" s="45">
        <v>275.80732081021398</v>
      </c>
      <c r="J28" s="45">
        <v>306.31712185319384</v>
      </c>
      <c r="K28" s="45">
        <v>309.55826970752815</v>
      </c>
      <c r="L28" s="45">
        <v>273.68264784154445</v>
      </c>
      <c r="M28" s="45">
        <v>180.47618041592605</v>
      </c>
      <c r="N28" s="45">
        <v>268.68937335054852</v>
      </c>
      <c r="O28" s="45">
        <v>59.444517152304385</v>
      </c>
      <c r="P28" s="45">
        <v>138.11826671841064</v>
      </c>
      <c r="Q28" s="45">
        <v>181.41559033576294</v>
      </c>
      <c r="R28" s="45">
        <v>261.14781127732545</v>
      </c>
      <c r="S28" s="45"/>
      <c r="T28" s="10">
        <f t="shared" si="11"/>
        <v>2863.46721640739</v>
      </c>
      <c r="U28" s="64"/>
    </row>
    <row r="29" spans="2:21" x14ac:dyDescent="0.3">
      <c r="C29" s="16" t="s">
        <v>55</v>
      </c>
      <c r="G29" s="45">
        <v>4707.991066808635</v>
      </c>
      <c r="H29" s="45">
        <v>4909.8025165828703</v>
      </c>
      <c r="I29" s="45">
        <v>3824.9725903087547</v>
      </c>
      <c r="J29" s="45">
        <v>4956.9132036045721</v>
      </c>
      <c r="K29" s="45">
        <v>5009.9070942042636</v>
      </c>
      <c r="L29" s="45">
        <v>4244.4821491348375</v>
      </c>
      <c r="M29" s="45">
        <v>4750.0788210487844</v>
      </c>
      <c r="N29" s="45">
        <v>4674.0083043051018</v>
      </c>
      <c r="O29" s="45">
        <v>4524.9063743778861</v>
      </c>
      <c r="P29" s="45">
        <v>5579.7936835599212</v>
      </c>
      <c r="Q29" s="45">
        <v>4442.929782338545</v>
      </c>
      <c r="R29" s="45">
        <v>4202.547954249786</v>
      </c>
      <c r="S29" s="45"/>
      <c r="T29" s="10">
        <f t="shared" si="11"/>
        <v>55828.333540523956</v>
      </c>
      <c r="U29" s="64"/>
    </row>
    <row r="30" spans="2:21" x14ac:dyDescent="0.3">
      <c r="C30" s="16" t="s">
        <v>56</v>
      </c>
      <c r="G30" s="45">
        <v>204.15791216979056</v>
      </c>
      <c r="H30" s="45">
        <v>194.83931043555876</v>
      </c>
      <c r="I30" s="45">
        <v>196.75235567134982</v>
      </c>
      <c r="J30" s="45">
        <v>189.84927260574042</v>
      </c>
      <c r="K30" s="45">
        <v>196.41174461780457</v>
      </c>
      <c r="L30" s="45">
        <v>190.92055862586494</v>
      </c>
      <c r="M30" s="45">
        <v>190.94825649286346</v>
      </c>
      <c r="N30" s="45">
        <v>205.93472694458649</v>
      </c>
      <c r="O30" s="45">
        <v>232.22000078722326</v>
      </c>
      <c r="P30" s="45">
        <v>217.40174567671991</v>
      </c>
      <c r="Q30" s="45">
        <v>221.29357519847011</v>
      </c>
      <c r="R30" s="45">
        <v>195.10608314404129</v>
      </c>
      <c r="S30" s="45"/>
      <c r="T30" s="10">
        <f t="shared" si="11"/>
        <v>2435.8355423700136</v>
      </c>
      <c r="U30" s="64"/>
    </row>
    <row r="31" spans="2:21" x14ac:dyDescent="0.3">
      <c r="C31" s="16" t="s">
        <v>57</v>
      </c>
      <c r="G31" s="45">
        <v>193.77180985185896</v>
      </c>
      <c r="H31" s="45">
        <v>196.75210317422412</v>
      </c>
      <c r="I31" s="45">
        <v>182.08680489382598</v>
      </c>
      <c r="J31" s="45">
        <v>246.34436569299635</v>
      </c>
      <c r="K31" s="45">
        <v>283.94921399816258</v>
      </c>
      <c r="L31" s="45">
        <v>264.88585898573854</v>
      </c>
      <c r="M31" s="45">
        <v>158.37655284108334</v>
      </c>
      <c r="N31" s="45">
        <v>300.34739936691847</v>
      </c>
      <c r="O31" s="45">
        <v>190.38182789183043</v>
      </c>
      <c r="P31" s="45">
        <v>372.83600692471771</v>
      </c>
      <c r="Q31" s="45">
        <v>235.83097475228405</v>
      </c>
      <c r="R31" s="45">
        <v>149.71643991004356</v>
      </c>
      <c r="S31" s="45"/>
      <c r="T31" s="10">
        <f t="shared" si="11"/>
        <v>2775.2793582836835</v>
      </c>
      <c r="U31" s="64"/>
    </row>
    <row r="32" spans="2:21" x14ac:dyDescent="0.3">
      <c r="C32" s="16" t="s">
        <v>58</v>
      </c>
      <c r="G32" s="45">
        <v>14181.204131092547</v>
      </c>
      <c r="H32" s="45">
        <v>14214.011765255613</v>
      </c>
      <c r="I32" s="45">
        <v>14210.460208509516</v>
      </c>
      <c r="J32" s="45">
        <v>14778.680590957318</v>
      </c>
      <c r="K32" s="45">
        <v>14720.016073352412</v>
      </c>
      <c r="L32" s="45">
        <v>14288.918344312573</v>
      </c>
      <c r="M32" s="45">
        <v>13640.082873961639</v>
      </c>
      <c r="N32" s="45">
        <v>14554.968888098951</v>
      </c>
      <c r="O32" s="45">
        <v>14140.21987854391</v>
      </c>
      <c r="P32" s="45">
        <v>15062.613235241097</v>
      </c>
      <c r="Q32" s="45">
        <v>14954.864955881909</v>
      </c>
      <c r="R32" s="45">
        <v>15568.625107649497</v>
      </c>
      <c r="S32" s="45"/>
      <c r="T32" s="10">
        <f t="shared" si="11"/>
        <v>174314.66605285698</v>
      </c>
      <c r="U32" s="64"/>
    </row>
    <row r="33" spans="1:21" x14ac:dyDescent="0.3">
      <c r="C33" s="16" t="s">
        <v>59</v>
      </c>
      <c r="G33" s="45">
        <v>888.23269974908442</v>
      </c>
      <c r="H33" s="45">
        <v>737.50860057268574</v>
      </c>
      <c r="I33" s="45">
        <v>648.84128027212398</v>
      </c>
      <c r="J33" s="45">
        <v>804.14408132070355</v>
      </c>
      <c r="K33" s="45">
        <v>483.61524305310178</v>
      </c>
      <c r="L33" s="45">
        <v>649.25708690829435</v>
      </c>
      <c r="M33" s="45">
        <v>596.41880674307515</v>
      </c>
      <c r="N33" s="45">
        <v>540.44112823708963</v>
      </c>
      <c r="O33" s="45">
        <v>600.05173129068737</v>
      </c>
      <c r="P33" s="45">
        <v>396.30301303862382</v>
      </c>
      <c r="Q33" s="45">
        <v>565.91500850451564</v>
      </c>
      <c r="R33" s="45">
        <v>526.2422891103954</v>
      </c>
      <c r="S33" s="45"/>
      <c r="T33" s="10">
        <f t="shared" si="11"/>
        <v>7436.9709688003813</v>
      </c>
      <c r="U33" s="64"/>
    </row>
    <row r="34" spans="1:21" x14ac:dyDescent="0.3"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10"/>
      <c r="U34" s="64"/>
    </row>
    <row r="35" spans="1:21" x14ac:dyDescent="0.3">
      <c r="B35" s="16" t="s">
        <v>60</v>
      </c>
      <c r="G35" s="17">
        <f>SUM(G36:G41)</f>
        <v>28703.333068569475</v>
      </c>
      <c r="H35" s="17">
        <f t="shared" ref="H35:N35" si="12">SUM(H36:H41)</f>
        <v>28335.851083987982</v>
      </c>
      <c r="I35" s="17">
        <f t="shared" si="12"/>
        <v>29241.055735301838</v>
      </c>
      <c r="J35" s="17">
        <f t="shared" si="12"/>
        <v>32328.382225440149</v>
      </c>
      <c r="K35" s="17">
        <f t="shared" si="12"/>
        <v>28730.143153262594</v>
      </c>
      <c r="L35" s="17">
        <f t="shared" si="12"/>
        <v>30870.810308767708</v>
      </c>
      <c r="M35" s="17">
        <f t="shared" si="12"/>
        <v>23692.366187044609</v>
      </c>
      <c r="N35" s="17">
        <f t="shared" si="12"/>
        <v>27483.347197180847</v>
      </c>
      <c r="O35" s="17">
        <f t="shared" ref="O35" si="13">SUM(O36:O41)</f>
        <v>30413.409592364227</v>
      </c>
      <c r="P35" s="17">
        <f t="shared" ref="P35" si="14">SUM(P36:P41)</f>
        <v>28669.301398220945</v>
      </c>
      <c r="Q35" s="17">
        <f t="shared" ref="Q35" si="15">SUM(Q36:Q41)</f>
        <v>23837.506925791735</v>
      </c>
      <c r="R35" s="17">
        <f t="shared" ref="R35" si="16">SUM(R36:R41)</f>
        <v>29403.554010188385</v>
      </c>
      <c r="S35" s="17"/>
      <c r="T35" s="10">
        <f t="shared" ref="T35:T41" si="17">SUM(G35:Q35)+R35</f>
        <v>341709.06088612048</v>
      </c>
      <c r="U35" s="64"/>
    </row>
    <row r="36" spans="1:21" x14ac:dyDescent="0.3">
      <c r="C36" s="16" t="s">
        <v>61</v>
      </c>
      <c r="G36" s="45">
        <v>6159.8278098815708</v>
      </c>
      <c r="H36" s="45">
        <v>6158.1461609196831</v>
      </c>
      <c r="I36" s="45">
        <v>6581.5753347880263</v>
      </c>
      <c r="J36" s="45">
        <v>7171.3605521660184</v>
      </c>
      <c r="K36" s="45">
        <v>6497.4504290266987</v>
      </c>
      <c r="L36" s="45">
        <v>6921.3204658247969</v>
      </c>
      <c r="M36" s="45">
        <v>5321.606745004553</v>
      </c>
      <c r="N36" s="45">
        <v>6252.0637496202644</v>
      </c>
      <c r="O36" s="45">
        <v>6864.9565074935954</v>
      </c>
      <c r="P36" s="45">
        <v>5988.0470789240635</v>
      </c>
      <c r="Q36" s="45">
        <v>5149.4682352051586</v>
      </c>
      <c r="R36" s="45">
        <v>6350.678674014971</v>
      </c>
      <c r="S36" s="45"/>
      <c r="T36" s="10">
        <f t="shared" si="17"/>
        <v>75416.501742869397</v>
      </c>
      <c r="U36" s="64"/>
    </row>
    <row r="37" spans="1:21" x14ac:dyDescent="0.3">
      <c r="C37" s="16" t="s">
        <v>62</v>
      </c>
      <c r="G37" s="45">
        <v>387.41211065727578</v>
      </c>
      <c r="H37" s="45">
        <v>380.68625132491991</v>
      </c>
      <c r="I37" s="45">
        <v>381.86816991772645</v>
      </c>
      <c r="J37" s="45">
        <v>365.4356258853208</v>
      </c>
      <c r="K37" s="45">
        <v>366.62797161240906</v>
      </c>
      <c r="L37" s="45">
        <v>381.12402989627373</v>
      </c>
      <c r="M37" s="45">
        <v>369.19368900738687</v>
      </c>
      <c r="N37" s="45">
        <v>410.92737399753446</v>
      </c>
      <c r="O37" s="45">
        <v>524.08418024471246</v>
      </c>
      <c r="P37" s="45">
        <v>423.85836222595987</v>
      </c>
      <c r="Q37" s="45">
        <v>344.17098016946193</v>
      </c>
      <c r="R37" s="45">
        <v>372.22855253270745</v>
      </c>
      <c r="S37" s="45"/>
      <c r="T37" s="10">
        <f t="shared" si="17"/>
        <v>4707.6172974716883</v>
      </c>
      <c r="U37" s="64"/>
    </row>
    <row r="38" spans="1:21" x14ac:dyDescent="0.3">
      <c r="C38" s="16" t="s">
        <v>63</v>
      </c>
      <c r="G38" s="45">
        <v>3159.2465194309862</v>
      </c>
      <c r="H38" s="45">
        <v>2975.0382990031248</v>
      </c>
      <c r="I38" s="45">
        <v>2778.0627021084356</v>
      </c>
      <c r="J38" s="45">
        <v>2982.2154612489553</v>
      </c>
      <c r="K38" s="45">
        <v>3459.1941464437036</v>
      </c>
      <c r="L38" s="45">
        <v>3077.7969269590631</v>
      </c>
      <c r="M38" s="45">
        <v>2134.7330494276948</v>
      </c>
      <c r="N38" s="45">
        <v>1910.421044133235</v>
      </c>
      <c r="O38" s="45">
        <v>1179.3324471808346</v>
      </c>
      <c r="P38" s="45">
        <v>2024.9283884010924</v>
      </c>
      <c r="Q38" s="45">
        <v>2109.6933597570369</v>
      </c>
      <c r="R38" s="45">
        <v>1871.5606794508608</v>
      </c>
      <c r="S38" s="45"/>
      <c r="T38" s="10">
        <f t="shared" si="17"/>
        <v>29662.223023545022</v>
      </c>
      <c r="U38" s="64"/>
    </row>
    <row r="39" spans="1:21" x14ac:dyDescent="0.3">
      <c r="C39" s="16" t="s">
        <v>64</v>
      </c>
      <c r="G39" s="45">
        <v>11338.757432467761</v>
      </c>
      <c r="H39" s="45">
        <v>11460.314453343237</v>
      </c>
      <c r="I39" s="45">
        <v>12932.272308553838</v>
      </c>
      <c r="J39" s="45">
        <v>13340.371800696785</v>
      </c>
      <c r="K39" s="45">
        <v>11904.667907276542</v>
      </c>
      <c r="L39" s="45">
        <v>13242.520557109106</v>
      </c>
      <c r="M39" s="45">
        <v>9894.4346443818995</v>
      </c>
      <c r="N39" s="45">
        <v>12513.024546992337</v>
      </c>
      <c r="O39" s="45">
        <v>12935.520193958244</v>
      </c>
      <c r="P39" s="45">
        <v>11537.571238235862</v>
      </c>
      <c r="Q39" s="45">
        <v>9963.0577119819354</v>
      </c>
      <c r="R39" s="45">
        <v>12776.709144402483</v>
      </c>
      <c r="S39" s="45"/>
      <c r="T39" s="10">
        <f t="shared" si="17"/>
        <v>143839.22193940001</v>
      </c>
      <c r="U39" s="64"/>
    </row>
    <row r="40" spans="1:21" x14ac:dyDescent="0.3">
      <c r="C40" s="16" t="s">
        <v>65</v>
      </c>
      <c r="G40" s="45">
        <v>6903.9759195199458</v>
      </c>
      <c r="H40" s="45">
        <v>6629.5017993941474</v>
      </c>
      <c r="I40" s="45">
        <v>5839.9306190625312</v>
      </c>
      <c r="J40" s="45">
        <v>7587.231167996797</v>
      </c>
      <c r="K40" s="45">
        <v>5761.8043756889174</v>
      </c>
      <c r="L40" s="45">
        <v>6468.8805059916449</v>
      </c>
      <c r="M40" s="45">
        <v>5338.5966964422287</v>
      </c>
      <c r="N40" s="45">
        <v>5639.0325503620816</v>
      </c>
      <c r="O40" s="45">
        <v>8123.300945648808</v>
      </c>
      <c r="P40" s="45">
        <v>7916.2037975402027</v>
      </c>
      <c r="Q40" s="45">
        <v>5604.6163574497223</v>
      </c>
      <c r="R40" s="45">
        <v>7212.1722412641348</v>
      </c>
      <c r="S40" s="45"/>
      <c r="T40" s="10">
        <f t="shared" si="17"/>
        <v>79025.246976361159</v>
      </c>
      <c r="U40" s="64"/>
    </row>
    <row r="41" spans="1:21" x14ac:dyDescent="0.3">
      <c r="C41" s="16" t="s">
        <v>49</v>
      </c>
      <c r="G41" s="45">
        <v>754.11327661193229</v>
      </c>
      <c r="H41" s="45">
        <v>732.16412000286994</v>
      </c>
      <c r="I41" s="45">
        <v>727.34660087127668</v>
      </c>
      <c r="J41" s="45">
        <v>881.76761744627254</v>
      </c>
      <c r="K41" s="45">
        <v>740.39832321432038</v>
      </c>
      <c r="L41" s="45">
        <v>779.16782298682153</v>
      </c>
      <c r="M41" s="45">
        <v>633.80136278084365</v>
      </c>
      <c r="N41" s="45">
        <v>757.87793207539301</v>
      </c>
      <c r="O41" s="45">
        <v>786.21531783803437</v>
      </c>
      <c r="P41" s="45">
        <v>778.69253289376468</v>
      </c>
      <c r="Q41" s="45">
        <v>666.50028122841957</v>
      </c>
      <c r="R41" s="45">
        <v>820.20471852323089</v>
      </c>
      <c r="S41" s="45"/>
      <c r="T41" s="10">
        <f t="shared" si="17"/>
        <v>9058.2499064731801</v>
      </c>
      <c r="U41" s="64"/>
    </row>
    <row r="42" spans="1:21" x14ac:dyDescent="0.3"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10"/>
      <c r="U42" s="64"/>
    </row>
    <row r="43" spans="1:21" x14ac:dyDescent="0.3">
      <c r="A43" s="20" t="s">
        <v>14</v>
      </c>
      <c r="B43" s="20"/>
      <c r="C43" s="20"/>
      <c r="D43" s="20"/>
      <c r="E43" s="20"/>
      <c r="F43" s="20"/>
      <c r="G43" s="44">
        <v>3104.2082268734598</v>
      </c>
      <c r="H43" s="44">
        <v>3236.7828371966393</v>
      </c>
      <c r="I43" s="44">
        <v>13927.20682022714</v>
      </c>
      <c r="J43" s="44">
        <v>11152.392277283599</v>
      </c>
      <c r="K43" s="44">
        <v>4144.8182578761753</v>
      </c>
      <c r="L43" s="44">
        <v>6667.1567289151999</v>
      </c>
      <c r="M43" s="44">
        <v>3835.3232216651641</v>
      </c>
      <c r="N43" s="44">
        <v>4519.6524498459294</v>
      </c>
      <c r="O43" s="44">
        <v>6864.8647204733998</v>
      </c>
      <c r="P43" s="44">
        <v>5885.6709424070104</v>
      </c>
      <c r="Q43" s="44">
        <v>5621.31468085098</v>
      </c>
      <c r="R43" s="44">
        <v>28378.608836386444</v>
      </c>
      <c r="S43" s="44"/>
      <c r="T43" s="28">
        <f>SUM(G43:Q43)+R43</f>
        <v>97338.00000000115</v>
      </c>
      <c r="U43" s="64"/>
    </row>
    <row r="44" spans="1:21" x14ac:dyDescent="0.3">
      <c r="A44" s="20"/>
      <c r="B44" s="20"/>
      <c r="C44" s="20"/>
      <c r="D44" s="20"/>
      <c r="E44" s="20"/>
      <c r="F44" s="20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8"/>
      <c r="U44" s="64"/>
    </row>
    <row r="45" spans="1:21" x14ac:dyDescent="0.3">
      <c r="A45" s="20" t="s">
        <v>15</v>
      </c>
      <c r="B45" s="20"/>
      <c r="C45" s="20"/>
      <c r="D45" s="20"/>
      <c r="E45" s="20"/>
      <c r="F45" s="20"/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152.3854118213942</v>
      </c>
      <c r="P45" s="48">
        <v>150.12410293757881</v>
      </c>
      <c r="Q45" s="48">
        <v>0</v>
      </c>
      <c r="R45" s="44">
        <v>1189.0904852410267</v>
      </c>
      <c r="S45" s="44"/>
      <c r="T45" s="28">
        <f>SUM(G45:Q45)+R45</f>
        <v>1491.5999999999997</v>
      </c>
      <c r="U45" s="64"/>
    </row>
    <row r="46" spans="1:21" x14ac:dyDescent="0.3">
      <c r="A46" s="20"/>
      <c r="B46" s="20"/>
      <c r="C46" s="20"/>
      <c r="D46" s="20"/>
      <c r="E46" s="20"/>
      <c r="F46" s="20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4"/>
      <c r="S46" s="44"/>
      <c r="T46" s="28"/>
      <c r="U46" s="64"/>
    </row>
    <row r="47" spans="1:21" x14ac:dyDescent="0.3">
      <c r="A47" s="20" t="s">
        <v>16</v>
      </c>
      <c r="B47" s="20"/>
      <c r="C47" s="20"/>
      <c r="D47" s="20"/>
      <c r="E47" s="20"/>
      <c r="F47" s="20"/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4"/>
      <c r="T47" s="28">
        <f>SUM(G47:Q47)+R47</f>
        <v>0</v>
      </c>
      <c r="U47" s="64"/>
    </row>
    <row r="48" spans="1:21" x14ac:dyDescent="0.3">
      <c r="A48" s="20"/>
      <c r="B48" s="20"/>
      <c r="C48" s="20"/>
      <c r="D48" s="20"/>
      <c r="E48" s="20"/>
      <c r="F48" s="20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4"/>
      <c r="S48" s="44"/>
      <c r="T48" s="28"/>
      <c r="U48" s="64"/>
    </row>
    <row r="49" spans="1:21" x14ac:dyDescent="0.3">
      <c r="A49" s="56" t="s">
        <v>17</v>
      </c>
      <c r="B49" s="56"/>
      <c r="C49" s="56"/>
      <c r="D49" s="56"/>
      <c r="E49" s="56"/>
      <c r="F49" s="56"/>
      <c r="G49" s="43">
        <v>396.32068255889857</v>
      </c>
      <c r="H49" s="90">
        <v>0</v>
      </c>
      <c r="I49" s="43">
        <v>136.23429601653575</v>
      </c>
      <c r="J49" s="43">
        <v>242.48580889091585</v>
      </c>
      <c r="K49" s="43">
        <v>351.31721479816446</v>
      </c>
      <c r="L49" s="90">
        <v>0</v>
      </c>
      <c r="M49" s="43">
        <v>117.59249481570212</v>
      </c>
      <c r="N49" s="43">
        <v>166.29789595439888</v>
      </c>
      <c r="O49" s="43">
        <v>1158.2918972219629</v>
      </c>
      <c r="P49" s="43">
        <v>27.239526405077203</v>
      </c>
      <c r="Q49" s="43">
        <v>239.81728693808114</v>
      </c>
      <c r="R49" s="43">
        <v>2498.8028964002624</v>
      </c>
      <c r="S49" s="44"/>
      <c r="T49" s="29">
        <f>SUM(G49:Q49)+R49</f>
        <v>5334.4</v>
      </c>
      <c r="U49" s="64"/>
    </row>
    <row r="50" spans="1:21" x14ac:dyDescent="0.3">
      <c r="G50" s="58"/>
      <c r="H50" s="58"/>
      <c r="I50" s="58"/>
      <c r="J50" s="58"/>
      <c r="S50" s="44"/>
    </row>
    <row r="51" spans="1:21" ht="14.5" x14ac:dyDescent="0.35">
      <c r="A51" s="63"/>
      <c r="G51" s="58"/>
      <c r="H51" s="58"/>
      <c r="I51" s="58"/>
      <c r="J51" s="58"/>
    </row>
    <row r="52" spans="1:21" ht="14.5" x14ac:dyDescent="0.35">
      <c r="A52" s="63"/>
      <c r="G52" s="58"/>
      <c r="H52" s="58"/>
      <c r="I52" s="58"/>
      <c r="J52" s="58"/>
    </row>
    <row r="53" spans="1:21" x14ac:dyDescent="0.3"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1:21" x14ac:dyDescent="0.3"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9" spans="1:21" x14ac:dyDescent="0.3">
      <c r="I59" s="80"/>
    </row>
    <row r="60" spans="1:21" x14ac:dyDescent="0.3">
      <c r="I60" s="80"/>
    </row>
    <row r="61" spans="1:21" x14ac:dyDescent="0.3">
      <c r="I61" s="80"/>
    </row>
    <row r="62" spans="1:21" x14ac:dyDescent="0.3">
      <c r="I62" s="80"/>
    </row>
    <row r="63" spans="1:21" x14ac:dyDescent="0.3">
      <c r="I63" s="80"/>
    </row>
    <row r="64" spans="1:21" x14ac:dyDescent="0.3">
      <c r="I64" s="80"/>
    </row>
    <row r="65" spans="9:9" x14ac:dyDescent="0.3">
      <c r="I65" s="80"/>
    </row>
    <row r="66" spans="9:9" x14ac:dyDescent="0.3">
      <c r="I66" s="80"/>
    </row>
    <row r="67" spans="9:9" x14ac:dyDescent="0.3">
      <c r="I67" s="80"/>
    </row>
    <row r="68" spans="9:9" x14ac:dyDescent="0.3">
      <c r="I68" s="80"/>
    </row>
    <row r="69" spans="9:9" x14ac:dyDescent="0.3">
      <c r="I69" s="80"/>
    </row>
    <row r="70" spans="9:9" x14ac:dyDescent="0.3">
      <c r="I70" s="80"/>
    </row>
    <row r="71" spans="9:9" x14ac:dyDescent="0.3">
      <c r="I71" s="80"/>
    </row>
    <row r="72" spans="9:9" x14ac:dyDescent="0.3">
      <c r="I72" s="80"/>
    </row>
    <row r="73" spans="9:9" x14ac:dyDescent="0.3">
      <c r="I73" s="80"/>
    </row>
    <row r="74" spans="9:9" x14ac:dyDescent="0.3">
      <c r="I74" s="80"/>
    </row>
    <row r="75" spans="9:9" x14ac:dyDescent="0.3">
      <c r="I75" s="80"/>
    </row>
    <row r="76" spans="9:9" x14ac:dyDescent="0.3">
      <c r="I76" s="80"/>
    </row>
    <row r="77" spans="9:9" x14ac:dyDescent="0.3">
      <c r="I77" s="80"/>
    </row>
    <row r="78" spans="9:9" x14ac:dyDescent="0.3">
      <c r="I78" s="80"/>
    </row>
    <row r="79" spans="9:9" x14ac:dyDescent="0.3">
      <c r="I79" s="80"/>
    </row>
    <row r="80" spans="9:9" x14ac:dyDescent="0.3">
      <c r="I80" s="80"/>
    </row>
    <row r="81" spans="9:9" x14ac:dyDescent="0.3">
      <c r="I81" s="80"/>
    </row>
    <row r="82" spans="9:9" x14ac:dyDescent="0.3">
      <c r="I82" s="80"/>
    </row>
    <row r="83" spans="9:9" x14ac:dyDescent="0.3">
      <c r="I83" s="80"/>
    </row>
    <row r="84" spans="9:9" x14ac:dyDescent="0.3">
      <c r="I84" s="80"/>
    </row>
    <row r="85" spans="9:9" x14ac:dyDescent="0.3">
      <c r="I85" s="80"/>
    </row>
    <row r="86" spans="9:9" x14ac:dyDescent="0.3">
      <c r="I86" s="80"/>
    </row>
    <row r="87" spans="9:9" x14ac:dyDescent="0.3">
      <c r="I87" s="80"/>
    </row>
    <row r="88" spans="9:9" x14ac:dyDescent="0.3">
      <c r="I88" s="80"/>
    </row>
  </sheetData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67"/>
  <sheetViews>
    <sheetView zoomScale="80" zoomScaleNormal="80" workbookViewId="0">
      <pane xSplit="6" ySplit="5" topLeftCell="G36" activePane="bottomRight" state="frozen"/>
      <selection pane="topRight" activeCell="G1" sqref="G1"/>
      <selection pane="bottomLeft" activeCell="A6" sqref="A6"/>
      <selection pane="bottomRight" activeCell="G61" sqref="G61:R61"/>
    </sheetView>
  </sheetViews>
  <sheetFormatPr defaultColWidth="9.08984375" defaultRowHeight="14.5" x14ac:dyDescent="0.35"/>
  <cols>
    <col min="1" max="4" width="2.6328125" customWidth="1"/>
    <col min="5" max="5" width="23.08984375" customWidth="1"/>
    <col min="6" max="6" width="4.54296875" customWidth="1"/>
    <col min="7" max="8" width="10.6328125" customWidth="1"/>
    <col min="9" max="9" width="12.08984375" customWidth="1"/>
    <col min="10" max="11" width="10.6328125" customWidth="1"/>
    <col min="12" max="12" width="10.54296875" customWidth="1"/>
    <col min="13" max="18" width="10.6328125" customWidth="1"/>
    <col min="19" max="19" width="3.90625" customWidth="1"/>
    <col min="20" max="20" width="18.6328125" style="24" bestFit="1" customWidth="1"/>
    <col min="21" max="21" width="3.6328125" customWidth="1"/>
    <col min="22" max="25" width="11" customWidth="1"/>
    <col min="26" max="26" width="2.36328125" customWidth="1"/>
    <col min="27" max="27" width="12.08984375" customWidth="1"/>
    <col min="28" max="28" width="3.90625" customWidth="1"/>
    <col min="29" max="32" width="11" customWidth="1"/>
  </cols>
  <sheetData>
    <row r="1" spans="1:35" ht="17.5" x14ac:dyDescent="0.35">
      <c r="A1" s="1" t="s">
        <v>80</v>
      </c>
      <c r="B1" s="2"/>
      <c r="C1" s="1"/>
      <c r="D1" s="2"/>
      <c r="E1" s="1"/>
      <c r="F1" s="2"/>
      <c r="G1" s="2"/>
      <c r="H1" s="2"/>
      <c r="I1" s="2"/>
      <c r="J1" s="2"/>
      <c r="K1" s="2"/>
      <c r="L1" s="72"/>
      <c r="S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17.5" x14ac:dyDescent="0.35">
      <c r="A2" s="1"/>
      <c r="B2" s="3" t="s">
        <v>0</v>
      </c>
      <c r="C2" s="1"/>
      <c r="D2" s="2"/>
      <c r="E2" s="2"/>
      <c r="F2" s="2"/>
      <c r="G2" s="2"/>
      <c r="H2" s="2"/>
      <c r="I2" s="67">
        <f>I3-I17</f>
        <v>36844.216999999997</v>
      </c>
      <c r="J2" s="2"/>
      <c r="K2" s="2"/>
      <c r="L2" s="2"/>
      <c r="P2" s="33"/>
      <c r="Q2" s="31"/>
      <c r="R2" s="32"/>
      <c r="S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17.5" x14ac:dyDescent="0.35">
      <c r="A3" s="2"/>
      <c r="B3" s="2"/>
      <c r="C3" s="3"/>
      <c r="D3" s="2"/>
      <c r="E3" s="2"/>
      <c r="F3" s="2"/>
      <c r="G3" s="3"/>
      <c r="H3" s="1"/>
      <c r="I3" s="67">
        <v>67217.010999999999</v>
      </c>
      <c r="J3" s="1"/>
      <c r="K3" s="1"/>
      <c r="L3" s="1"/>
      <c r="P3" s="34"/>
      <c r="Q3" s="35"/>
      <c r="R3" s="23"/>
      <c r="S3" s="16"/>
      <c r="T3" s="3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17.5" x14ac:dyDescent="0.35">
      <c r="A4" s="2"/>
      <c r="B4" s="2"/>
      <c r="C4" s="3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6"/>
      <c r="T4" s="25" t="s">
        <v>79</v>
      </c>
      <c r="U4" s="16"/>
      <c r="V4" s="65"/>
      <c r="W4" s="65"/>
      <c r="X4" s="65"/>
      <c r="Y4" s="65"/>
      <c r="Z4" s="16"/>
      <c r="AB4" s="16"/>
      <c r="AC4" s="65"/>
      <c r="AD4" s="65"/>
      <c r="AE4" s="65"/>
      <c r="AF4" s="65"/>
      <c r="AG4" s="16"/>
      <c r="AH4" s="16"/>
      <c r="AI4" s="16"/>
    </row>
    <row r="5" spans="1:35" x14ac:dyDescent="0.35">
      <c r="A5" s="5"/>
      <c r="B5" s="5"/>
      <c r="C5" s="5"/>
      <c r="D5" s="5"/>
      <c r="E5" s="6"/>
      <c r="F5" s="6"/>
      <c r="G5" s="7" t="s">
        <v>1</v>
      </c>
      <c r="H5" s="7" t="s">
        <v>2</v>
      </c>
      <c r="I5" s="8" t="s">
        <v>3</v>
      </c>
      <c r="J5" s="8" t="s">
        <v>4</v>
      </c>
      <c r="K5" s="8" t="s">
        <v>5</v>
      </c>
      <c r="L5" s="8" t="s">
        <v>81</v>
      </c>
      <c r="M5" s="8" t="s">
        <v>6</v>
      </c>
      <c r="N5" s="7" t="s">
        <v>7</v>
      </c>
      <c r="O5" s="7" t="s">
        <v>8</v>
      </c>
      <c r="P5" s="8" t="s">
        <v>9</v>
      </c>
      <c r="Q5" s="8" t="s">
        <v>10</v>
      </c>
      <c r="R5" s="8" t="s">
        <v>11</v>
      </c>
      <c r="S5" s="16"/>
      <c r="T5" s="37" t="s">
        <v>78</v>
      </c>
      <c r="U5" s="16"/>
      <c r="V5" s="8" t="s">
        <v>66</v>
      </c>
      <c r="W5" s="8" t="s">
        <v>67</v>
      </c>
      <c r="X5" s="8" t="s">
        <v>68</v>
      </c>
      <c r="Y5" s="8" t="s">
        <v>69</v>
      </c>
      <c r="Z5" s="16"/>
      <c r="AA5" s="66" t="str">
        <f>T5</f>
        <v>FY 2023/24</v>
      </c>
      <c r="AB5" s="16"/>
      <c r="AC5" s="8" t="s">
        <v>70</v>
      </c>
      <c r="AD5" s="8" t="s">
        <v>71</v>
      </c>
      <c r="AE5" s="8" t="s">
        <v>72</v>
      </c>
      <c r="AF5" s="8" t="s">
        <v>73</v>
      </c>
      <c r="AG5" s="16"/>
      <c r="AH5" s="16"/>
      <c r="AI5" s="16"/>
    </row>
    <row r="6" spans="1:35" x14ac:dyDescent="0.35">
      <c r="A6" s="6"/>
      <c r="B6" s="6"/>
      <c r="C6" s="6"/>
      <c r="D6" s="6"/>
      <c r="E6" s="6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6"/>
      <c r="T6" s="10"/>
      <c r="U6" s="16"/>
      <c r="V6" s="16"/>
      <c r="W6" s="16"/>
      <c r="X6" s="16"/>
      <c r="Y6" s="16"/>
      <c r="Z6" s="16"/>
      <c r="AA6" s="10"/>
      <c r="AB6" s="16"/>
      <c r="AC6" s="16"/>
      <c r="AD6" s="16"/>
      <c r="AE6" s="16"/>
      <c r="AF6" s="16"/>
      <c r="AG6" s="16"/>
      <c r="AH6" s="16"/>
      <c r="AI6" s="16"/>
    </row>
    <row r="7" spans="1:35" x14ac:dyDescent="0.35">
      <c r="A7" s="11" t="s">
        <v>12</v>
      </c>
      <c r="B7" s="12"/>
      <c r="C7" s="12"/>
      <c r="D7" s="12"/>
      <c r="E7" s="12"/>
      <c r="F7" s="12"/>
      <c r="G7" s="28">
        <f>SUM(G8:G12)</f>
        <v>113431.03551272764</v>
      </c>
      <c r="H7" s="28">
        <f t="shared" ref="H7:R7" si="0">SUM(H8:H12)</f>
        <v>79051.856868336079</v>
      </c>
      <c r="I7" s="28">
        <f t="shared" si="0"/>
        <v>101006.30378888181</v>
      </c>
      <c r="J7" s="28">
        <f t="shared" si="0"/>
        <v>89125.49259507122</v>
      </c>
      <c r="K7" s="28">
        <f t="shared" si="0"/>
        <v>77261.479160817675</v>
      </c>
      <c r="L7" s="28">
        <f t="shared" si="0"/>
        <v>97111.179405143776</v>
      </c>
      <c r="M7" s="28">
        <f t="shared" si="0"/>
        <v>70119.988383268384</v>
      </c>
      <c r="N7" s="28">
        <f t="shared" si="0"/>
        <v>76715.015706741236</v>
      </c>
      <c r="O7" s="28">
        <f t="shared" si="0"/>
        <v>99188.137986432237</v>
      </c>
      <c r="P7" s="28">
        <f t="shared" si="0"/>
        <v>81853.355274716581</v>
      </c>
      <c r="Q7" s="28">
        <f t="shared" si="0"/>
        <v>72605.488597204589</v>
      </c>
      <c r="R7" s="28">
        <f t="shared" si="0"/>
        <v>126062.97742575561</v>
      </c>
      <c r="S7" s="17"/>
      <c r="T7" s="28">
        <f>SUM(T8:T12)</f>
        <v>1083532.3107050967</v>
      </c>
      <c r="U7" s="16"/>
      <c r="V7" s="28">
        <f t="shared" ref="V7:Y7" si="1">SUM(V8:V12)</f>
        <v>293489.19616994553</v>
      </c>
      <c r="W7" s="28">
        <f t="shared" si="1"/>
        <v>263498.15116103267</v>
      </c>
      <c r="X7" s="28">
        <f t="shared" si="1"/>
        <v>246023.14207644184</v>
      </c>
      <c r="Y7" s="28">
        <f t="shared" si="1"/>
        <v>280521.82129767683</v>
      </c>
      <c r="Z7" s="16"/>
      <c r="AA7" s="28">
        <f>SUM(AA8:AA12)</f>
        <v>1083532.3107050969</v>
      </c>
      <c r="AB7" s="16"/>
      <c r="AC7" s="28">
        <f t="shared" ref="AC7:AF7" si="2">SUM(AC8:AC12)</f>
        <v>293489.19616994553</v>
      </c>
      <c r="AD7" s="28">
        <f t="shared" si="2"/>
        <v>556987.34733097826</v>
      </c>
      <c r="AE7" s="28">
        <f t="shared" si="2"/>
        <v>803010.48940742016</v>
      </c>
      <c r="AF7" s="28">
        <f t="shared" si="2"/>
        <v>1083532.3107050969</v>
      </c>
      <c r="AG7" s="16"/>
      <c r="AH7" s="16"/>
    </row>
    <row r="8" spans="1:35" x14ac:dyDescent="0.35">
      <c r="A8" s="12"/>
      <c r="B8" s="12" t="s">
        <v>13</v>
      </c>
      <c r="C8" s="12"/>
      <c r="D8" s="12"/>
      <c r="E8" s="12"/>
      <c r="F8" s="12"/>
      <c r="G8" s="13">
        <f>'Revenue Details'!G10</f>
        <v>109930.50660329527</v>
      </c>
      <c r="H8" s="13">
        <f>'Revenue Details'!H10</f>
        <v>75815.074031139433</v>
      </c>
      <c r="I8" s="13">
        <f>'Revenue Details'!I10</f>
        <v>86942.862672638119</v>
      </c>
      <c r="J8" s="13">
        <f>'Revenue Details'!J10</f>
        <v>77730.614508896717</v>
      </c>
      <c r="K8" s="13">
        <f>'Revenue Details'!K10</f>
        <v>72765.34368814333</v>
      </c>
      <c r="L8" s="13">
        <f>'Revenue Details'!L10</f>
        <v>90444.022676228575</v>
      </c>
      <c r="M8" s="13">
        <f>'Revenue Details'!M10</f>
        <v>66167.072666787513</v>
      </c>
      <c r="N8" s="13">
        <f>'Revenue Details'!N10</f>
        <v>72029.065360940906</v>
      </c>
      <c r="O8" s="13">
        <f>'Revenue Details'!O10</f>
        <v>91012.59595691548</v>
      </c>
      <c r="P8" s="13">
        <f>'Revenue Details'!P10</f>
        <v>75790.320702966914</v>
      </c>
      <c r="Q8" s="13">
        <f>'Revenue Details'!Q10</f>
        <v>66744.356629415532</v>
      </c>
      <c r="R8" s="13">
        <f>'Revenue Details'!R10</f>
        <v>93996.475207727883</v>
      </c>
      <c r="S8" s="17"/>
      <c r="T8" s="10">
        <f t="shared" ref="T8:T10" si="3">SUM(G8:R8)</f>
        <v>979368.31070509565</v>
      </c>
      <c r="U8" s="16"/>
      <c r="V8" s="17">
        <f>SUM(G8:I8)</f>
        <v>272688.44330707286</v>
      </c>
      <c r="W8" s="17">
        <f>SUM(J8:L8)</f>
        <v>240939.98087326862</v>
      </c>
      <c r="X8" s="17">
        <f>SUM(M8:O8)</f>
        <v>229208.73398464388</v>
      </c>
      <c r="Y8" s="17">
        <f>SUM(P8:R8)</f>
        <v>236531.15254011034</v>
      </c>
      <c r="Z8" s="16"/>
      <c r="AA8" s="10">
        <f>SUM(V8:Y8)</f>
        <v>979368.31070509576</v>
      </c>
      <c r="AB8" s="16"/>
      <c r="AC8" s="17">
        <f>V8</f>
        <v>272688.44330707286</v>
      </c>
      <c r="AD8" s="17">
        <f t="shared" ref="AD8:AF12" si="4">AC8+W8</f>
        <v>513628.42418034148</v>
      </c>
      <c r="AE8" s="17">
        <f t="shared" si="4"/>
        <v>742837.15816498536</v>
      </c>
      <c r="AF8" s="17">
        <f t="shared" si="4"/>
        <v>979368.31070509576</v>
      </c>
      <c r="AG8" s="16"/>
      <c r="AH8" s="16"/>
    </row>
    <row r="9" spans="1:35" x14ac:dyDescent="0.35">
      <c r="A9" s="12"/>
      <c r="B9" s="12" t="s">
        <v>14</v>
      </c>
      <c r="C9" s="12"/>
      <c r="D9" s="12"/>
      <c r="E9" s="12"/>
      <c r="F9" s="12"/>
      <c r="G9" s="13">
        <f>'Revenue Details'!G43</f>
        <v>3104.2082268734598</v>
      </c>
      <c r="H9" s="13">
        <f>'Revenue Details'!H43</f>
        <v>3236.7828371966393</v>
      </c>
      <c r="I9" s="13">
        <f>'Revenue Details'!I43</f>
        <v>13927.20682022714</v>
      </c>
      <c r="J9" s="13">
        <f>'Revenue Details'!J43</f>
        <v>11152.392277283599</v>
      </c>
      <c r="K9" s="13">
        <f>'Revenue Details'!K43</f>
        <v>4144.8182578761753</v>
      </c>
      <c r="L9" s="13">
        <f>'Revenue Details'!L43</f>
        <v>6667.1567289151999</v>
      </c>
      <c r="M9" s="13">
        <f>'Revenue Details'!M43</f>
        <v>3835.3232216651641</v>
      </c>
      <c r="N9" s="13">
        <f>'Revenue Details'!N43</f>
        <v>4519.6524498459294</v>
      </c>
      <c r="O9" s="13">
        <f>'Revenue Details'!O43</f>
        <v>6864.8647204733998</v>
      </c>
      <c r="P9" s="13">
        <f>'Revenue Details'!P43</f>
        <v>5885.6709424070104</v>
      </c>
      <c r="Q9" s="13">
        <f>'Revenue Details'!Q43</f>
        <v>5621.31468085098</v>
      </c>
      <c r="R9" s="13">
        <f>'Revenue Details'!R43</f>
        <v>28378.608836386444</v>
      </c>
      <c r="S9" s="17"/>
      <c r="T9" s="10">
        <f t="shared" si="3"/>
        <v>97338.00000000115</v>
      </c>
      <c r="U9" s="16"/>
      <c r="V9" s="17">
        <f>SUM(G9:I9)</f>
        <v>20268.197884297238</v>
      </c>
      <c r="W9" s="17">
        <f>SUM(J9:L9)</f>
        <v>21964.367264074976</v>
      </c>
      <c r="X9" s="17">
        <f>SUM(M9:O9)</f>
        <v>15219.840391984493</v>
      </c>
      <c r="Y9" s="17">
        <f>SUM(P9:R9)</f>
        <v>39885.594459644431</v>
      </c>
      <c r="Z9" s="16"/>
      <c r="AA9" s="10">
        <f>SUM(V9:Y9)</f>
        <v>97338.000000001135</v>
      </c>
      <c r="AB9" s="16"/>
      <c r="AC9" s="17">
        <f t="shared" ref="AC9:AC12" si="5">V9</f>
        <v>20268.197884297238</v>
      </c>
      <c r="AD9" s="17">
        <f t="shared" si="4"/>
        <v>42232.565148372218</v>
      </c>
      <c r="AE9" s="17">
        <f t="shared" si="4"/>
        <v>57452.405540356711</v>
      </c>
      <c r="AF9" s="17">
        <f t="shared" si="4"/>
        <v>97338.000000001135</v>
      </c>
      <c r="AG9" s="16"/>
      <c r="AH9" s="16"/>
    </row>
    <row r="10" spans="1:35" x14ac:dyDescent="0.35">
      <c r="A10" s="14"/>
      <c r="B10" s="14" t="s">
        <v>15</v>
      </c>
      <c r="C10" s="14"/>
      <c r="D10" s="12"/>
      <c r="E10" s="12"/>
      <c r="F10" s="12"/>
      <c r="G10" s="13">
        <f>'Revenue Details'!G45</f>
        <v>0</v>
      </c>
      <c r="H10" s="13">
        <f>'Revenue Details'!H45</f>
        <v>0</v>
      </c>
      <c r="I10" s="13">
        <f>'Revenue Details'!I45</f>
        <v>0</v>
      </c>
      <c r="J10" s="13">
        <f>'Revenue Details'!J45</f>
        <v>0</v>
      </c>
      <c r="K10" s="13">
        <f>'Revenue Details'!K45</f>
        <v>0</v>
      </c>
      <c r="L10" s="13">
        <f>'Revenue Details'!L45</f>
        <v>0</v>
      </c>
      <c r="M10" s="13">
        <f>'Revenue Details'!M45</f>
        <v>0</v>
      </c>
      <c r="N10" s="13">
        <f>'Revenue Details'!N45</f>
        <v>0</v>
      </c>
      <c r="O10" s="13">
        <f>'Revenue Details'!O45</f>
        <v>152.3854118213942</v>
      </c>
      <c r="P10" s="13">
        <f>'Revenue Details'!P45</f>
        <v>150.12410293757881</v>
      </c>
      <c r="Q10" s="13">
        <f>'Revenue Details'!Q45</f>
        <v>0</v>
      </c>
      <c r="R10" s="13">
        <f>'Revenue Details'!R45</f>
        <v>1189.0904852410267</v>
      </c>
      <c r="S10" s="17"/>
      <c r="T10" s="10">
        <f t="shared" si="3"/>
        <v>1491.5999999999997</v>
      </c>
      <c r="U10" s="16"/>
      <c r="V10" s="17">
        <f>SUM(G10:I10)</f>
        <v>0</v>
      </c>
      <c r="W10" s="17">
        <f>SUM(J10:L10)</f>
        <v>0</v>
      </c>
      <c r="X10" s="17">
        <f>SUM(M10:O10)</f>
        <v>152.3854118213942</v>
      </c>
      <c r="Y10" s="17">
        <f>SUM(P10:R10)</f>
        <v>1339.2145881786055</v>
      </c>
      <c r="Z10" s="16"/>
      <c r="AA10" s="10">
        <f t="shared" ref="AA10:AA12" si="6">SUM(V10:Y10)</f>
        <v>1491.5999999999997</v>
      </c>
      <c r="AB10" s="16"/>
      <c r="AC10" s="17">
        <f t="shared" si="5"/>
        <v>0</v>
      </c>
      <c r="AD10" s="17">
        <f t="shared" si="4"/>
        <v>0</v>
      </c>
      <c r="AE10" s="17">
        <f t="shared" si="4"/>
        <v>152.3854118213942</v>
      </c>
      <c r="AF10" s="17">
        <f t="shared" si="4"/>
        <v>1491.5999999999997</v>
      </c>
      <c r="AG10" s="16"/>
      <c r="AH10" s="16"/>
    </row>
    <row r="11" spans="1:35" x14ac:dyDescent="0.35">
      <c r="A11" s="12"/>
      <c r="B11" s="12" t="s">
        <v>16</v>
      </c>
      <c r="C11" s="12"/>
      <c r="D11" s="12"/>
      <c r="E11" s="12"/>
      <c r="F11" s="12"/>
      <c r="G11" s="13">
        <f>'Revenue Details'!G47</f>
        <v>0</v>
      </c>
      <c r="H11" s="13">
        <f>'Revenue Details'!H47</f>
        <v>0</v>
      </c>
      <c r="I11" s="13">
        <f>'Revenue Details'!I47</f>
        <v>0</v>
      </c>
      <c r="J11" s="13">
        <f>'Revenue Details'!J47</f>
        <v>0</v>
      </c>
      <c r="K11" s="13">
        <f>'Revenue Details'!K47</f>
        <v>0</v>
      </c>
      <c r="L11" s="13">
        <f>'Revenue Details'!L47</f>
        <v>0</v>
      </c>
      <c r="M11" s="13">
        <f>'Revenue Details'!M47</f>
        <v>0</v>
      </c>
      <c r="N11" s="13">
        <f>'Revenue Details'!N47</f>
        <v>0</v>
      </c>
      <c r="O11" s="13">
        <f>'Revenue Details'!O47</f>
        <v>0</v>
      </c>
      <c r="P11" s="13">
        <f>'Revenue Details'!P47</f>
        <v>0</v>
      </c>
      <c r="Q11" s="13">
        <f>'Revenue Details'!Q47</f>
        <v>0</v>
      </c>
      <c r="R11" s="13">
        <f>'Revenue Details'!R47</f>
        <v>0</v>
      </c>
      <c r="S11" s="17"/>
      <c r="T11" s="10">
        <f>SUM(G11:R11)</f>
        <v>0</v>
      </c>
      <c r="U11" s="16"/>
      <c r="V11" s="17">
        <f>SUM(G11:I11)</f>
        <v>0</v>
      </c>
      <c r="W11" s="17">
        <f>SUM(J11:L11)</f>
        <v>0</v>
      </c>
      <c r="X11" s="17">
        <f>SUM(M11:O11)</f>
        <v>0</v>
      </c>
      <c r="Y11" s="17">
        <f>SUM(P11:R11)</f>
        <v>0</v>
      </c>
      <c r="Z11" s="16"/>
      <c r="AA11" s="10">
        <f t="shared" si="6"/>
        <v>0</v>
      </c>
      <c r="AB11" s="16"/>
      <c r="AC11" s="17">
        <f t="shared" si="5"/>
        <v>0</v>
      </c>
      <c r="AD11" s="17">
        <f t="shared" si="4"/>
        <v>0</v>
      </c>
      <c r="AE11" s="17">
        <f t="shared" si="4"/>
        <v>0</v>
      </c>
      <c r="AF11" s="17">
        <f t="shared" si="4"/>
        <v>0</v>
      </c>
      <c r="AG11" s="16"/>
      <c r="AH11" s="16"/>
    </row>
    <row r="12" spans="1:35" x14ac:dyDescent="0.35">
      <c r="A12" s="14"/>
      <c r="B12" s="14" t="s">
        <v>17</v>
      </c>
      <c r="C12" s="14"/>
      <c r="D12" s="12"/>
      <c r="E12" s="12"/>
      <c r="F12" s="12"/>
      <c r="G12" s="13">
        <f>'Revenue Details'!G49</f>
        <v>396.32068255889857</v>
      </c>
      <c r="H12" s="13">
        <f>'Revenue Details'!H49</f>
        <v>0</v>
      </c>
      <c r="I12" s="13">
        <f>'Revenue Details'!I49</f>
        <v>136.23429601653575</v>
      </c>
      <c r="J12" s="13">
        <f>'Revenue Details'!J49</f>
        <v>242.48580889091585</v>
      </c>
      <c r="K12" s="13">
        <f>'Revenue Details'!K49</f>
        <v>351.31721479816446</v>
      </c>
      <c r="L12" s="13">
        <f>'Revenue Details'!L49</f>
        <v>0</v>
      </c>
      <c r="M12" s="13">
        <f>'Revenue Details'!M49</f>
        <v>117.59249481570212</v>
      </c>
      <c r="N12" s="13">
        <f>'Revenue Details'!N49</f>
        <v>166.29789595439888</v>
      </c>
      <c r="O12" s="13">
        <f>'Revenue Details'!O49</f>
        <v>1158.2918972219629</v>
      </c>
      <c r="P12" s="13">
        <f>'Revenue Details'!P49</f>
        <v>27.239526405077203</v>
      </c>
      <c r="Q12" s="13">
        <f>'Revenue Details'!Q49</f>
        <v>239.81728693808114</v>
      </c>
      <c r="R12" s="13">
        <f>'Revenue Details'!R49</f>
        <v>2498.8028964002624</v>
      </c>
      <c r="S12" s="17"/>
      <c r="T12" s="10">
        <f>SUM(G12:R12)</f>
        <v>5334.4</v>
      </c>
      <c r="U12" s="16"/>
      <c r="V12" s="17">
        <f>SUM(G12:I12)</f>
        <v>532.55497857543435</v>
      </c>
      <c r="W12" s="17">
        <f>SUM(J12:L12)</f>
        <v>593.80302368908031</v>
      </c>
      <c r="X12" s="17">
        <f>SUM(M12:O12)</f>
        <v>1442.1822879920639</v>
      </c>
      <c r="Y12" s="17">
        <f>SUM(P12:R12)</f>
        <v>2765.8597097434208</v>
      </c>
      <c r="Z12" s="16"/>
      <c r="AA12" s="10">
        <f t="shared" si="6"/>
        <v>5334.4</v>
      </c>
      <c r="AB12" s="16"/>
      <c r="AC12" s="17">
        <f t="shared" si="5"/>
        <v>532.55497857543435</v>
      </c>
      <c r="AD12" s="17">
        <f t="shared" si="4"/>
        <v>1126.3580022645147</v>
      </c>
      <c r="AE12" s="17">
        <f t="shared" si="4"/>
        <v>2568.5402902565784</v>
      </c>
      <c r="AF12" s="17">
        <f t="shared" si="4"/>
        <v>5334.4</v>
      </c>
      <c r="AG12" s="16"/>
      <c r="AH12" s="16"/>
    </row>
    <row r="13" spans="1:35" x14ac:dyDescent="0.35">
      <c r="A13" s="14"/>
      <c r="B13" s="12"/>
      <c r="C13" s="12"/>
      <c r="D13" s="12"/>
      <c r="E13" s="12"/>
      <c r="F13" s="12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7"/>
      <c r="T13" s="30"/>
      <c r="U13" s="16"/>
      <c r="V13" s="16"/>
      <c r="W13" s="16"/>
      <c r="X13" s="16"/>
      <c r="Y13" s="16"/>
      <c r="Z13" s="16"/>
      <c r="AA13" s="10"/>
      <c r="AB13" s="16"/>
      <c r="AC13" s="16"/>
      <c r="AD13" s="16"/>
      <c r="AE13" s="16"/>
      <c r="AF13" s="16"/>
      <c r="AG13" s="16"/>
      <c r="AH13" s="16"/>
    </row>
    <row r="14" spans="1:35" x14ac:dyDescent="0.35">
      <c r="A14" s="11" t="s">
        <v>18</v>
      </c>
      <c r="B14" s="12"/>
      <c r="C14" s="12"/>
      <c r="D14" s="12"/>
      <c r="E14" s="12"/>
      <c r="F14" s="12"/>
      <c r="G14" s="67">
        <f t="shared" ref="G14:R14" si="7">+G15+G24</f>
        <v>82519.316966513783</v>
      </c>
      <c r="H14" s="67">
        <f t="shared" si="7"/>
        <v>69900.700020908858</v>
      </c>
      <c r="I14" s="67">
        <f t="shared" si="7"/>
        <v>69376.97103860919</v>
      </c>
      <c r="J14" s="67">
        <f t="shared" si="7"/>
        <v>78660.107951280414</v>
      </c>
      <c r="K14" s="67">
        <f t="shared" si="7"/>
        <v>78128.43136497309</v>
      </c>
      <c r="L14" s="67">
        <f t="shared" si="7"/>
        <v>76957.886734194763</v>
      </c>
      <c r="M14" s="67">
        <f t="shared" si="7"/>
        <v>72950.852032974552</v>
      </c>
      <c r="N14" s="67">
        <f t="shared" si="7"/>
        <v>68212.13391995804</v>
      </c>
      <c r="O14" s="67">
        <f t="shared" si="7"/>
        <v>67990.83036371044</v>
      </c>
      <c r="P14" s="67">
        <f t="shared" si="7"/>
        <v>78748.164927221718</v>
      </c>
      <c r="Q14" s="67">
        <f t="shared" si="7"/>
        <v>69577.816802392234</v>
      </c>
      <c r="R14" s="67">
        <f t="shared" si="7"/>
        <v>74660.403298922523</v>
      </c>
      <c r="S14" s="17"/>
      <c r="T14" s="28">
        <f>+T15+T24</f>
        <v>887683.61542165955</v>
      </c>
      <c r="U14" s="16"/>
      <c r="V14" s="28">
        <f>+V15+V24</f>
        <v>221796.98802603182</v>
      </c>
      <c r="W14" s="28">
        <f>+W15+W24</f>
        <v>233746.42605044827</v>
      </c>
      <c r="X14" s="28">
        <f>+X15+X24</f>
        <v>209153.81631664309</v>
      </c>
      <c r="Y14" s="28">
        <f>+Y15+Y24</f>
        <v>222986.38502853646</v>
      </c>
      <c r="Z14" s="16"/>
      <c r="AA14" s="28">
        <f>+AA15+AA24</f>
        <v>887683.61542165966</v>
      </c>
      <c r="AB14" s="16"/>
      <c r="AC14" s="28">
        <f t="shared" ref="AC14:AF14" si="8">+AC15+AC24</f>
        <v>221796.98802603182</v>
      </c>
      <c r="AD14" s="28">
        <f t="shared" si="8"/>
        <v>455543.41407648008</v>
      </c>
      <c r="AE14" s="28">
        <f t="shared" si="8"/>
        <v>664697.23039312311</v>
      </c>
      <c r="AF14" s="28">
        <f t="shared" si="8"/>
        <v>887683.61542165966</v>
      </c>
      <c r="AG14" s="16"/>
      <c r="AH14" s="16"/>
    </row>
    <row r="15" spans="1:35" x14ac:dyDescent="0.35">
      <c r="A15" s="11"/>
      <c r="B15" s="11" t="s">
        <v>19</v>
      </c>
      <c r="C15" s="12"/>
      <c r="D15" s="12"/>
      <c r="E15" s="12"/>
      <c r="F15" s="12"/>
      <c r="G15" s="67">
        <f t="shared" ref="G15:R15" si="9">+G16+G17+G20</f>
        <v>75469.063966513786</v>
      </c>
      <c r="H15" s="67">
        <f t="shared" si="9"/>
        <v>64872.063020908856</v>
      </c>
      <c r="I15" s="67">
        <f t="shared" si="9"/>
        <v>63232.148838609188</v>
      </c>
      <c r="J15" s="67">
        <f t="shared" si="9"/>
        <v>72984.4479091057</v>
      </c>
      <c r="K15" s="67">
        <f t="shared" si="9"/>
        <v>72727.001252123708</v>
      </c>
      <c r="L15" s="67">
        <f t="shared" si="9"/>
        <v>71233.078582935821</v>
      </c>
      <c r="M15" s="67">
        <f t="shared" si="9"/>
        <v>67302.61164650369</v>
      </c>
      <c r="N15" s="67">
        <f t="shared" si="9"/>
        <v>61918.112849936064</v>
      </c>
      <c r="O15" s="67">
        <f t="shared" si="9"/>
        <v>61657.566402532218</v>
      </c>
      <c r="P15" s="67">
        <f t="shared" si="9"/>
        <v>72366.687580282785</v>
      </c>
      <c r="Q15" s="67">
        <f t="shared" si="9"/>
        <v>64446.384684864359</v>
      </c>
      <c r="R15" s="67">
        <f t="shared" si="9"/>
        <v>64101.558687343422</v>
      </c>
      <c r="S15" s="17"/>
      <c r="T15" s="28">
        <f>+T16+T17+T20</f>
        <v>812310.72542165953</v>
      </c>
      <c r="U15" s="16"/>
      <c r="V15" s="28">
        <f>+V16+V17+V20</f>
        <v>203573.27582603181</v>
      </c>
      <c r="W15" s="28">
        <f t="shared" ref="W15:Y15" si="10">+W16+W17+W20</f>
        <v>216944.52774416524</v>
      </c>
      <c r="X15" s="28">
        <f t="shared" si="10"/>
        <v>190878.29089897202</v>
      </c>
      <c r="Y15" s="28">
        <f t="shared" si="10"/>
        <v>200914.63095249055</v>
      </c>
      <c r="Z15" s="16"/>
      <c r="AA15" s="28">
        <f>+AA16+AA17+AA20</f>
        <v>812310.72542165965</v>
      </c>
      <c r="AB15" s="16"/>
      <c r="AC15" s="28">
        <f t="shared" ref="AC15:AF15" si="11">+AC16+AC17+AC20</f>
        <v>203573.27582603181</v>
      </c>
      <c r="AD15" s="28">
        <f t="shared" si="11"/>
        <v>420517.80357019708</v>
      </c>
      <c r="AE15" s="28">
        <f t="shared" si="11"/>
        <v>611396.09446916904</v>
      </c>
      <c r="AF15" s="28">
        <f t="shared" si="11"/>
        <v>812310.72542165965</v>
      </c>
      <c r="AG15" s="16"/>
      <c r="AH15" s="16"/>
    </row>
    <row r="16" spans="1:35" x14ac:dyDescent="0.35">
      <c r="A16" s="12"/>
      <c r="B16" s="12"/>
      <c r="C16" s="12" t="s">
        <v>20</v>
      </c>
      <c r="D16" s="12"/>
      <c r="E16" s="12"/>
      <c r="F16" s="12"/>
      <c r="G16" s="10">
        <v>24356.478999999999</v>
      </c>
      <c r="H16" s="10">
        <v>24400.364090909094</v>
      </c>
      <c r="I16" s="10">
        <v>23347.318090909092</v>
      </c>
      <c r="J16" s="10">
        <v>25861.994090909091</v>
      </c>
      <c r="K16" s="10">
        <v>27232.532090909091</v>
      </c>
      <c r="L16" s="41">
        <v>29084.815090909091</v>
      </c>
      <c r="M16" s="41">
        <v>23746.103090909091</v>
      </c>
      <c r="N16" s="69">
        <v>21881.252090909093</v>
      </c>
      <c r="O16" s="69">
        <v>22375.935090909094</v>
      </c>
      <c r="P16" s="69">
        <v>26422.073090909093</v>
      </c>
      <c r="Q16" s="69">
        <v>19223.609090909093</v>
      </c>
      <c r="R16" s="69">
        <v>21873.930090909093</v>
      </c>
      <c r="S16" s="17"/>
      <c r="T16" s="10">
        <f>SUM(G16:R16)</f>
        <v>289806.40499999997</v>
      </c>
      <c r="U16" s="16"/>
      <c r="V16" s="17">
        <f>SUM(G16:I16)</f>
        <v>72104.161181818185</v>
      </c>
      <c r="W16" s="17">
        <f>SUM(J16:L16)</f>
        <v>82179.341272727266</v>
      </c>
      <c r="X16" s="17">
        <f>SUM(M16:O16)</f>
        <v>68003.290272727289</v>
      </c>
      <c r="Y16" s="17">
        <f>SUM(P16:R16)</f>
        <v>67519.612272727274</v>
      </c>
      <c r="Z16" s="16"/>
      <c r="AA16" s="10">
        <f>SUM(V16:Y16)</f>
        <v>289806.40500000003</v>
      </c>
      <c r="AB16" s="16"/>
      <c r="AC16" s="17">
        <f>V16</f>
        <v>72104.161181818185</v>
      </c>
      <c r="AD16" s="17">
        <f>AC16+W16</f>
        <v>154283.50245454547</v>
      </c>
      <c r="AE16" s="17">
        <f>AD16+X16</f>
        <v>222286.79272727275</v>
      </c>
      <c r="AF16" s="17">
        <f>AE16+Y16</f>
        <v>289806.40500000003</v>
      </c>
      <c r="AG16" s="16"/>
      <c r="AH16" s="16"/>
    </row>
    <row r="17" spans="1:34" x14ac:dyDescent="0.35">
      <c r="A17" s="12"/>
      <c r="B17" s="12"/>
      <c r="C17" s="12" t="s">
        <v>21</v>
      </c>
      <c r="D17" s="12"/>
      <c r="E17" s="12"/>
      <c r="F17" s="12"/>
      <c r="G17" s="13">
        <f t="shared" ref="G17:R17" si="12">G18+G19</f>
        <v>37400</v>
      </c>
      <c r="H17" s="13">
        <f t="shared" si="12"/>
        <v>30264.977999999999</v>
      </c>
      <c r="I17" s="13">
        <f t="shared" si="12"/>
        <v>30372.794000000002</v>
      </c>
      <c r="J17" s="13">
        <f t="shared" si="12"/>
        <v>30038.51</v>
      </c>
      <c r="K17" s="13">
        <f t="shared" si="12"/>
        <v>30087.553</v>
      </c>
      <c r="L17" s="13">
        <f t="shared" si="12"/>
        <v>30024.226999999999</v>
      </c>
      <c r="M17" s="13">
        <f t="shared" si="12"/>
        <v>29940.032999999999</v>
      </c>
      <c r="N17" s="70">
        <f t="shared" si="12"/>
        <v>29855.308000000001</v>
      </c>
      <c r="O17" s="70">
        <f t="shared" si="12"/>
        <v>29888.948</v>
      </c>
      <c r="P17" s="70">
        <f>P18+P19</f>
        <v>29731.831999999999</v>
      </c>
      <c r="Q17" s="70">
        <f t="shared" si="12"/>
        <v>29871.312999999998</v>
      </c>
      <c r="R17" s="70">
        <f t="shared" si="12"/>
        <v>29871.304</v>
      </c>
      <c r="S17" s="17"/>
      <c r="T17" s="10">
        <f>SUM(G17:Q17)+R17</f>
        <v>367346.8</v>
      </c>
      <c r="U17" s="16"/>
      <c r="V17" s="13">
        <f t="shared" ref="V17:Y17" si="13">V18+V19</f>
        <v>98037.771999999997</v>
      </c>
      <c r="W17" s="13">
        <f t="shared" si="13"/>
        <v>90150.29</v>
      </c>
      <c r="X17" s="13">
        <f t="shared" si="13"/>
        <v>89684.289000000004</v>
      </c>
      <c r="Y17" s="13">
        <f t="shared" si="13"/>
        <v>89474.448999999993</v>
      </c>
      <c r="Z17" s="16"/>
      <c r="AA17" s="13">
        <f>AA18+AA19</f>
        <v>367346.8</v>
      </c>
      <c r="AB17" s="16"/>
      <c r="AC17" s="13">
        <f t="shared" ref="AC17:AD17" si="14">AC18+AC19</f>
        <v>98037.771999999997</v>
      </c>
      <c r="AD17" s="13">
        <f t="shared" si="14"/>
        <v>188188.06200000001</v>
      </c>
      <c r="AE17" s="13">
        <f>AE18+AE19</f>
        <v>277872.35100000002</v>
      </c>
      <c r="AF17" s="13">
        <f>AF18+AF19</f>
        <v>367346.8</v>
      </c>
      <c r="AG17" s="16"/>
      <c r="AH17" s="16"/>
    </row>
    <row r="18" spans="1:34" x14ac:dyDescent="0.35">
      <c r="A18" s="12"/>
      <c r="B18" s="12"/>
      <c r="C18" s="12"/>
      <c r="D18" s="12" t="s">
        <v>22</v>
      </c>
      <c r="E18" s="12"/>
      <c r="F18" s="12"/>
      <c r="G18" s="10">
        <v>34040.4195616</v>
      </c>
      <c r="H18" s="10">
        <v>27944.887913278464</v>
      </c>
      <c r="I18" s="10">
        <v>28044.438821105261</v>
      </c>
      <c r="J18" s="10">
        <v>27735.780777104621</v>
      </c>
      <c r="K18" s="10">
        <v>27781.064178200468</v>
      </c>
      <c r="L18" s="10">
        <v>27722.592700970374</v>
      </c>
      <c r="M18" s="10">
        <v>27644.852948674154</v>
      </c>
      <c r="N18" s="17">
        <v>27566.622902432173</v>
      </c>
      <c r="O18" s="17">
        <v>27597.684085737928</v>
      </c>
      <c r="P18" s="17">
        <v>27452.612478238902</v>
      </c>
      <c r="Q18" s="17">
        <v>27581.400971362273</v>
      </c>
      <c r="R18" s="17">
        <v>27581.392661295398</v>
      </c>
      <c r="S18" s="17"/>
      <c r="T18" s="10">
        <f t="shared" ref="T18:T19" si="15">SUM(G18:R18)</f>
        <v>338693.75</v>
      </c>
      <c r="U18" s="16"/>
      <c r="V18" s="17">
        <f>SUM(G18:I18)</f>
        <v>90029.746295983728</v>
      </c>
      <c r="W18" s="17">
        <f>SUM(J18:L18)</f>
        <v>83239.437656275462</v>
      </c>
      <c r="X18" s="17">
        <f>SUM(M18:O18)</f>
        <v>82809.159936844255</v>
      </c>
      <c r="Y18" s="17">
        <f>SUM(P18:R18)</f>
        <v>82615.406110896569</v>
      </c>
      <c r="Z18" s="16"/>
      <c r="AA18" s="10">
        <f t="shared" ref="AA18:AA19" si="16">SUM(V18:Y18)</f>
        <v>338693.75</v>
      </c>
      <c r="AB18" s="16"/>
      <c r="AC18" s="17">
        <f>V18</f>
        <v>90029.746295983728</v>
      </c>
      <c r="AD18" s="17">
        <f t="shared" ref="AD18:AF19" si="17">AC18+W18</f>
        <v>173269.18395225919</v>
      </c>
      <c r="AE18" s="17">
        <f t="shared" si="17"/>
        <v>256078.34388910345</v>
      </c>
      <c r="AF18" s="17">
        <f>AE18+Y18</f>
        <v>338693.75</v>
      </c>
      <c r="AG18" s="16"/>
      <c r="AH18" s="16"/>
    </row>
    <row r="19" spans="1:34" x14ac:dyDescent="0.35">
      <c r="A19" s="12"/>
      <c r="B19" s="12"/>
      <c r="C19" s="12"/>
      <c r="D19" s="12" t="s">
        <v>23</v>
      </c>
      <c r="E19" s="12"/>
      <c r="F19" s="12"/>
      <c r="G19" s="10">
        <v>3359.5804384000003</v>
      </c>
      <c r="H19" s="10">
        <v>2320.090086721535</v>
      </c>
      <c r="I19" s="10">
        <v>2328.3551788947407</v>
      </c>
      <c r="J19" s="10">
        <v>2302.7292228953775</v>
      </c>
      <c r="K19" s="10">
        <v>2306.4888217995322</v>
      </c>
      <c r="L19" s="10">
        <v>2301.6342990296253</v>
      </c>
      <c r="M19" s="10">
        <v>2295.1800513258459</v>
      </c>
      <c r="N19" s="17">
        <v>2288.6850975678281</v>
      </c>
      <c r="O19" s="17">
        <v>2291.2639142620719</v>
      </c>
      <c r="P19" s="17">
        <v>2279.219521761097</v>
      </c>
      <c r="Q19" s="17">
        <v>2289.9120286377256</v>
      </c>
      <c r="R19" s="17">
        <v>2289.9113387046018</v>
      </c>
      <c r="S19" s="17"/>
      <c r="T19" s="10">
        <f t="shared" si="15"/>
        <v>28653.049999999981</v>
      </c>
      <c r="U19" s="16"/>
      <c r="V19" s="17">
        <f>SUM(G19:I19)</f>
        <v>8008.025704016276</v>
      </c>
      <c r="W19" s="17">
        <f>SUM(J19:L19)</f>
        <v>6910.8523437245349</v>
      </c>
      <c r="X19" s="17">
        <f>SUM(M19:O19)</f>
        <v>6875.1290631557458</v>
      </c>
      <c r="Y19" s="17">
        <f>SUM(P19:R19)</f>
        <v>6859.0428891034244</v>
      </c>
      <c r="Z19" s="16"/>
      <c r="AA19" s="10">
        <f t="shared" si="16"/>
        <v>28653.049999999981</v>
      </c>
      <c r="AB19" s="16"/>
      <c r="AC19" s="17">
        <f>V19</f>
        <v>8008.025704016276</v>
      </c>
      <c r="AD19" s="17">
        <f t="shared" si="17"/>
        <v>14918.878047740811</v>
      </c>
      <c r="AE19" s="17">
        <f t="shared" si="17"/>
        <v>21794.007110896557</v>
      </c>
      <c r="AF19" s="17">
        <f t="shared" si="17"/>
        <v>28653.049999999981</v>
      </c>
      <c r="AG19" s="16"/>
      <c r="AH19" s="16"/>
    </row>
    <row r="20" spans="1:34" x14ac:dyDescent="0.35">
      <c r="A20" s="12"/>
      <c r="B20" s="12"/>
      <c r="C20" s="12" t="s">
        <v>24</v>
      </c>
      <c r="D20" s="12"/>
      <c r="E20" s="12"/>
      <c r="F20" s="12"/>
      <c r="G20" s="13">
        <f>+G21+G22</f>
        <v>13712.584966513779</v>
      </c>
      <c r="H20" s="13">
        <f t="shared" ref="H20:R20" si="18">+H21+H22</f>
        <v>10206.720929999759</v>
      </c>
      <c r="I20" s="13">
        <f t="shared" si="18"/>
        <v>9512.0367477000909</v>
      </c>
      <c r="J20" s="13">
        <f t="shared" si="18"/>
        <v>17083.943818196611</v>
      </c>
      <c r="K20" s="13">
        <f t="shared" si="18"/>
        <v>15406.91616121462</v>
      </c>
      <c r="L20" s="13">
        <f t="shared" si="18"/>
        <v>12124.036492026729</v>
      </c>
      <c r="M20" s="13">
        <f t="shared" si="18"/>
        <v>13616.475555594599</v>
      </c>
      <c r="N20" s="70">
        <f t="shared" si="18"/>
        <v>10181.55275902697</v>
      </c>
      <c r="O20" s="70">
        <f t="shared" si="18"/>
        <v>9392.6833116231301</v>
      </c>
      <c r="P20" s="70">
        <f t="shared" si="18"/>
        <v>16212.7824893737</v>
      </c>
      <c r="Q20" s="70">
        <f t="shared" si="18"/>
        <v>15351.462593955261</v>
      </c>
      <c r="R20" s="70">
        <f t="shared" si="18"/>
        <v>12356.32459643433</v>
      </c>
      <c r="S20" s="17"/>
      <c r="T20" s="10">
        <f t="shared" ref="T20" si="19">SUM(G20:Q20)+R20</f>
        <v>155157.52042165957</v>
      </c>
      <c r="U20" s="16"/>
      <c r="V20" s="10">
        <f t="shared" ref="V20:Y20" si="20">+V21+V22</f>
        <v>33431.342644213626</v>
      </c>
      <c r="W20" s="10">
        <f t="shared" si="20"/>
        <v>44614.896471437962</v>
      </c>
      <c r="X20" s="10">
        <f t="shared" si="20"/>
        <v>33190.711626244702</v>
      </c>
      <c r="Y20" s="10">
        <f t="shared" si="20"/>
        <v>43920.569679763285</v>
      </c>
      <c r="Z20" s="16"/>
      <c r="AA20" s="10">
        <f>+AA21+AA22</f>
        <v>155157.52042165957</v>
      </c>
      <c r="AB20" s="16"/>
      <c r="AC20" s="10">
        <f t="shared" ref="AC20:AF20" si="21">+AC21+AC22</f>
        <v>33431.342644213626</v>
      </c>
      <c r="AD20" s="10">
        <f t="shared" si="21"/>
        <v>78046.239115651581</v>
      </c>
      <c r="AE20" s="10">
        <f t="shared" si="21"/>
        <v>111236.95074189629</v>
      </c>
      <c r="AF20" s="10">
        <f t="shared" si="21"/>
        <v>155157.52042165957</v>
      </c>
      <c r="AG20" s="16"/>
      <c r="AH20" s="16"/>
    </row>
    <row r="21" spans="1:34" x14ac:dyDescent="0.35">
      <c r="A21" s="12"/>
      <c r="B21" s="12"/>
      <c r="C21" s="12"/>
      <c r="D21" s="12" t="s">
        <v>25</v>
      </c>
      <c r="E21" s="12"/>
      <c r="F21" s="12"/>
      <c r="G21" s="10">
        <v>4105.9332321388401</v>
      </c>
      <c r="H21" s="10">
        <v>5381.4476119843202</v>
      </c>
      <c r="I21" s="10">
        <v>7574.6564224510503</v>
      </c>
      <c r="J21" s="10">
        <v>1437.2619505213099</v>
      </c>
      <c r="K21" s="10">
        <v>11450.481205124001</v>
      </c>
      <c r="L21" s="10">
        <v>2876.6873280302498</v>
      </c>
      <c r="M21" s="10">
        <v>4039.42586232144</v>
      </c>
      <c r="N21" s="17">
        <v>5352.49979243501</v>
      </c>
      <c r="O21" s="17">
        <v>7548.7703587656897</v>
      </c>
      <c r="P21" s="17">
        <v>1435.1940280898</v>
      </c>
      <c r="Q21" s="17">
        <v>11467.7240857208</v>
      </c>
      <c r="R21" s="17">
        <v>2876.6873280302498</v>
      </c>
      <c r="S21" s="17"/>
      <c r="T21" s="10">
        <f t="shared" ref="T21:T22" si="22">SUM(G21:R21)</f>
        <v>65546.769205612756</v>
      </c>
      <c r="U21" s="16"/>
      <c r="V21" s="17">
        <f>SUM(G21:I21)</f>
        <v>17062.037266574211</v>
      </c>
      <c r="W21" s="17">
        <f>SUM(J21:L21)</f>
        <v>15764.43048367556</v>
      </c>
      <c r="X21" s="17">
        <f>SUM(M21:O21)</f>
        <v>16940.696013522142</v>
      </c>
      <c r="Y21" s="17">
        <f>SUM(P21:R21)</f>
        <v>15779.605441840849</v>
      </c>
      <c r="Z21" s="16"/>
      <c r="AA21" s="10">
        <f t="shared" ref="AA21:AA22" si="23">SUM(V21:Y21)</f>
        <v>65546.769205612756</v>
      </c>
      <c r="AB21" s="16"/>
      <c r="AC21" s="17">
        <f>V21</f>
        <v>17062.037266574211</v>
      </c>
      <c r="AD21" s="17">
        <f t="shared" ref="AD21:AF22" si="24">AC21+W21</f>
        <v>32826.467750249773</v>
      </c>
      <c r="AE21" s="17">
        <f t="shared" si="24"/>
        <v>49767.16376377191</v>
      </c>
      <c r="AF21" s="17">
        <f t="shared" si="24"/>
        <v>65546.769205612756</v>
      </c>
      <c r="AG21" s="16"/>
      <c r="AH21" s="16"/>
    </row>
    <row r="22" spans="1:34" x14ac:dyDescent="0.35">
      <c r="A22" s="12"/>
      <c r="B22" s="12"/>
      <c r="C22" s="12"/>
      <c r="D22" s="12" t="s">
        <v>26</v>
      </c>
      <c r="E22" s="12"/>
      <c r="F22" s="12"/>
      <c r="G22" s="10">
        <v>9606.6517343749401</v>
      </c>
      <c r="H22" s="10">
        <v>4825.2733180154401</v>
      </c>
      <c r="I22" s="10">
        <v>1937.38032524904</v>
      </c>
      <c r="J22" s="10">
        <v>15646.681867675299</v>
      </c>
      <c r="K22" s="10">
        <v>3956.4349560906198</v>
      </c>
      <c r="L22" s="10">
        <v>9247.3491639964795</v>
      </c>
      <c r="M22" s="10">
        <v>9577.0496932731603</v>
      </c>
      <c r="N22" s="17">
        <v>4829.0529665919603</v>
      </c>
      <c r="O22" s="17">
        <v>1843.9129528574399</v>
      </c>
      <c r="P22" s="17">
        <v>14777.5884612839</v>
      </c>
      <c r="Q22" s="17">
        <v>3883.7385082344599</v>
      </c>
      <c r="R22" s="17">
        <v>9479.6372684040798</v>
      </c>
      <c r="S22" s="17"/>
      <c r="T22" s="10">
        <f t="shared" si="22"/>
        <v>89610.751216046818</v>
      </c>
      <c r="U22" s="16"/>
      <c r="V22" s="17">
        <f>SUM(G22:I22)</f>
        <v>16369.305377639419</v>
      </c>
      <c r="W22" s="17">
        <f>SUM(J22:L22)</f>
        <v>28850.4659877624</v>
      </c>
      <c r="X22" s="17">
        <f>SUM(M22:O22)</f>
        <v>16250.01561272256</v>
      </c>
      <c r="Y22" s="17">
        <f>SUM(P22:R22)</f>
        <v>28140.964237922439</v>
      </c>
      <c r="Z22" s="16"/>
      <c r="AA22" s="10">
        <f t="shared" si="23"/>
        <v>89610.751216046818</v>
      </c>
      <c r="AB22" s="16"/>
      <c r="AC22" s="17">
        <f>V22</f>
        <v>16369.305377639419</v>
      </c>
      <c r="AD22" s="17">
        <f t="shared" si="24"/>
        <v>45219.771365401815</v>
      </c>
      <c r="AE22" s="17">
        <f t="shared" si="24"/>
        <v>61469.786978124379</v>
      </c>
      <c r="AF22" s="17">
        <f t="shared" si="24"/>
        <v>89610.751216046818</v>
      </c>
      <c r="AG22" s="16"/>
      <c r="AH22" s="16"/>
    </row>
    <row r="23" spans="1:34" x14ac:dyDescent="0.35">
      <c r="A23" s="12"/>
      <c r="B23" s="12"/>
      <c r="C23" s="12"/>
      <c r="D23" s="12"/>
      <c r="E23" s="12"/>
      <c r="F23" s="12"/>
      <c r="G23" s="13"/>
      <c r="H23" s="13">
        <f>H25-H26</f>
        <v>834.57679999999982</v>
      </c>
      <c r="I23" s="13">
        <f t="shared" ref="I23:L23" si="25">I25-I26</f>
        <v>1100</v>
      </c>
      <c r="J23" s="13">
        <f t="shared" si="25"/>
        <v>500</v>
      </c>
      <c r="K23" s="13">
        <f t="shared" si="25"/>
        <v>0</v>
      </c>
      <c r="L23" s="13">
        <f t="shared" si="25"/>
        <v>500</v>
      </c>
      <c r="M23" s="13"/>
      <c r="N23" s="13"/>
      <c r="O23" s="13"/>
      <c r="P23" s="13"/>
      <c r="Q23" s="13"/>
      <c r="R23" s="13"/>
      <c r="S23" s="17"/>
      <c r="T23" s="10"/>
      <c r="U23" s="16"/>
      <c r="V23" s="16"/>
      <c r="W23" s="16"/>
      <c r="X23" s="16"/>
      <c r="Y23" s="16"/>
      <c r="Z23" s="16"/>
      <c r="AA23" s="10"/>
      <c r="AB23" s="16"/>
      <c r="AC23" s="17"/>
      <c r="AD23" s="17"/>
      <c r="AE23" s="17"/>
      <c r="AF23" s="17"/>
      <c r="AG23" s="16"/>
      <c r="AH23" s="16"/>
    </row>
    <row r="24" spans="1:34" x14ac:dyDescent="0.35">
      <c r="A24" s="11"/>
      <c r="B24" s="11" t="s">
        <v>27</v>
      </c>
      <c r="C24" s="11"/>
      <c r="D24" s="11"/>
      <c r="E24" s="11"/>
      <c r="F24" s="11"/>
      <c r="G24" s="67">
        <f t="shared" ref="G24:R24" si="26">+G25</f>
        <v>7050.2529999999997</v>
      </c>
      <c r="H24" s="67">
        <f t="shared" si="26"/>
        <v>5028.6369999999997</v>
      </c>
      <c r="I24" s="67">
        <f t="shared" si="26"/>
        <v>6144.8221999999996</v>
      </c>
      <c r="J24" s="67">
        <f t="shared" si="26"/>
        <v>5675.6600421747198</v>
      </c>
      <c r="K24" s="67">
        <f t="shared" si="26"/>
        <v>5401.4301128493798</v>
      </c>
      <c r="L24" s="67">
        <f t="shared" si="26"/>
        <v>5724.8081512589397</v>
      </c>
      <c r="M24" s="67">
        <f t="shared" si="26"/>
        <v>5648.2403864708604</v>
      </c>
      <c r="N24" s="67">
        <f t="shared" si="26"/>
        <v>6294.0210700219804</v>
      </c>
      <c r="O24" s="67">
        <f t="shared" si="26"/>
        <v>6333.2639611782197</v>
      </c>
      <c r="P24" s="67">
        <f t="shared" si="26"/>
        <v>6381.4773469389402</v>
      </c>
      <c r="Q24" s="67">
        <f t="shared" si="26"/>
        <v>5131.4321175278701</v>
      </c>
      <c r="R24" s="67">
        <f t="shared" si="26"/>
        <v>10558.844611579099</v>
      </c>
      <c r="S24" s="17"/>
      <c r="T24" s="28">
        <f>+T25</f>
        <v>75372.890000000014</v>
      </c>
      <c r="U24" s="16"/>
      <c r="V24" s="28">
        <f t="shared" ref="V24:Y24" si="27">+V25</f>
        <v>18223.712199999998</v>
      </c>
      <c r="W24" s="28">
        <f t="shared" si="27"/>
        <v>16801.898306283038</v>
      </c>
      <c r="X24" s="28">
        <f t="shared" si="27"/>
        <v>18275.525417671059</v>
      </c>
      <c r="Y24" s="28">
        <f t="shared" si="27"/>
        <v>22071.754076045909</v>
      </c>
      <c r="Z24" s="16"/>
      <c r="AA24" s="28">
        <f>+AA25</f>
        <v>75372.89</v>
      </c>
      <c r="AB24" s="16"/>
      <c r="AC24" s="28">
        <f t="shared" ref="AC24:AF24" si="28">+AC25</f>
        <v>18223.712199999998</v>
      </c>
      <c r="AD24" s="28">
        <f t="shared" si="28"/>
        <v>35025.610506283032</v>
      </c>
      <c r="AE24" s="28">
        <f t="shared" si="28"/>
        <v>53301.135923954091</v>
      </c>
      <c r="AF24" s="28">
        <f t="shared" si="28"/>
        <v>75372.89</v>
      </c>
      <c r="AG24" s="16"/>
      <c r="AH24" s="16"/>
    </row>
    <row r="25" spans="1:34" x14ac:dyDescent="0.35">
      <c r="A25" s="12"/>
      <c r="B25" s="12"/>
      <c r="C25" s="12" t="s">
        <v>28</v>
      </c>
      <c r="D25" s="12"/>
      <c r="E25" s="12"/>
      <c r="F25" s="12"/>
      <c r="G25" s="13">
        <v>7050.2529999999997</v>
      </c>
      <c r="H25" s="13">
        <v>5028.6369999999997</v>
      </c>
      <c r="I25" s="13">
        <v>6144.8221999999996</v>
      </c>
      <c r="J25" s="13">
        <v>5675.6600421747198</v>
      </c>
      <c r="K25" s="13">
        <v>5401.4301128493798</v>
      </c>
      <c r="L25" s="13">
        <v>5724.8081512589397</v>
      </c>
      <c r="M25" s="13">
        <v>5648.2403864708604</v>
      </c>
      <c r="N25" s="13">
        <v>6294.0210700219804</v>
      </c>
      <c r="O25" s="13">
        <v>6333.2639611782197</v>
      </c>
      <c r="P25" s="13">
        <v>6381.4773469389402</v>
      </c>
      <c r="Q25" s="13">
        <v>5131.4321175278701</v>
      </c>
      <c r="R25" s="13">
        <v>10558.844611579099</v>
      </c>
      <c r="S25" s="17"/>
      <c r="T25" s="10">
        <f>SUM(G25:R25)</f>
        <v>75372.890000000014</v>
      </c>
      <c r="U25" s="16"/>
      <c r="V25" s="17">
        <f>SUM(G25:I25)</f>
        <v>18223.712199999998</v>
      </c>
      <c r="W25" s="17">
        <f>SUM(J25:L25)</f>
        <v>16801.898306283038</v>
      </c>
      <c r="X25" s="17">
        <f>SUM(M25:O25)</f>
        <v>18275.525417671059</v>
      </c>
      <c r="Y25" s="17">
        <f>SUM(P25:R25)</f>
        <v>22071.754076045909</v>
      </c>
      <c r="Z25" s="16"/>
      <c r="AA25" s="10">
        <f>SUM(V25:Y25)</f>
        <v>75372.89</v>
      </c>
      <c r="AB25" s="16"/>
      <c r="AC25" s="17">
        <f>V25</f>
        <v>18223.712199999998</v>
      </c>
      <c r="AD25" s="17">
        <f>AC25+W25</f>
        <v>35025.610506283032</v>
      </c>
      <c r="AE25" s="17">
        <f>AD25+X25</f>
        <v>53301.135923954091</v>
      </c>
      <c r="AF25" s="17">
        <f>AE25+Y25</f>
        <v>75372.89</v>
      </c>
      <c r="AG25" s="16"/>
      <c r="AH25" s="16"/>
    </row>
    <row r="26" spans="1:34" x14ac:dyDescent="0.35">
      <c r="A26" s="12"/>
      <c r="B26" s="12"/>
      <c r="C26" s="12"/>
      <c r="D26" s="12"/>
      <c r="E26" s="12"/>
      <c r="F26" s="12"/>
      <c r="G26" s="13"/>
      <c r="H26" s="13">
        <v>4194.0601999999999</v>
      </c>
      <c r="I26" s="13">
        <v>5044.8221999999996</v>
      </c>
      <c r="J26" s="13">
        <v>5175.6600421747198</v>
      </c>
      <c r="K26" s="13">
        <v>5401.4301128493798</v>
      </c>
      <c r="L26" s="13">
        <v>5224.8081512589397</v>
      </c>
      <c r="M26" s="13"/>
      <c r="N26" s="13"/>
      <c r="O26" s="13"/>
      <c r="P26" s="13"/>
      <c r="Q26" s="13"/>
      <c r="R26" s="13"/>
      <c r="S26" s="17"/>
      <c r="T26" s="15"/>
      <c r="U26" s="16"/>
      <c r="V26" s="16"/>
      <c r="W26" s="16"/>
      <c r="X26" s="16"/>
      <c r="Y26" s="16"/>
      <c r="Z26" s="16"/>
      <c r="AA26" s="15"/>
      <c r="AB26" s="16"/>
      <c r="AC26" s="17"/>
      <c r="AD26" s="17"/>
      <c r="AE26" s="17"/>
      <c r="AF26" s="17"/>
      <c r="AG26" s="16"/>
      <c r="AH26" s="16"/>
    </row>
    <row r="27" spans="1:34" x14ac:dyDescent="0.35">
      <c r="A27" s="11" t="s">
        <v>29</v>
      </c>
      <c r="B27" s="12"/>
      <c r="C27" s="12"/>
      <c r="D27" s="12"/>
      <c r="E27" s="12"/>
      <c r="F27" s="12"/>
      <c r="G27" s="67">
        <f>+G7-G14</f>
        <v>30911.718546213859</v>
      </c>
      <c r="H27" s="67">
        <f t="shared" ref="H27:R27" si="29">+H7-H14</f>
        <v>9151.1568474272208</v>
      </c>
      <c r="I27" s="67">
        <f t="shared" si="29"/>
        <v>31629.332750272617</v>
      </c>
      <c r="J27" s="67">
        <f t="shared" si="29"/>
        <v>10465.384643790807</v>
      </c>
      <c r="K27" s="67">
        <f t="shared" si="29"/>
        <v>-866.95220415541553</v>
      </c>
      <c r="L27" s="67">
        <f t="shared" si="29"/>
        <v>20153.292670949013</v>
      </c>
      <c r="M27" s="67">
        <f>+M7-M14</f>
        <v>-2830.8636497061671</v>
      </c>
      <c r="N27" s="67">
        <f t="shared" si="29"/>
        <v>8502.8817867831967</v>
      </c>
      <c r="O27" s="67">
        <f t="shared" si="29"/>
        <v>31197.307622721797</v>
      </c>
      <c r="P27" s="67">
        <f t="shared" si="29"/>
        <v>3105.1903474948631</v>
      </c>
      <c r="Q27" s="67">
        <f t="shared" si="29"/>
        <v>3027.6717948123551</v>
      </c>
      <c r="R27" s="67">
        <f t="shared" si="29"/>
        <v>51402.574126833089</v>
      </c>
      <c r="S27" s="17"/>
      <c r="T27" s="28">
        <f>+T7-T14</f>
        <v>195848.69528343715</v>
      </c>
      <c r="U27" s="16"/>
      <c r="V27" s="28">
        <f t="shared" ref="V27:AF27" si="30">+V7-V14</f>
        <v>71692.208143913711</v>
      </c>
      <c r="W27" s="28">
        <f t="shared" si="30"/>
        <v>29751.725110584404</v>
      </c>
      <c r="X27" s="28">
        <f t="shared" si="30"/>
        <v>36869.325759798754</v>
      </c>
      <c r="Y27" s="28">
        <f t="shared" si="30"/>
        <v>57535.436269140366</v>
      </c>
      <c r="Z27" s="16"/>
      <c r="AA27" s="28">
        <f>+AA7-AA14</f>
        <v>195848.69528343726</v>
      </c>
      <c r="AB27" s="16"/>
      <c r="AC27" s="28">
        <f t="shared" si="30"/>
        <v>71692.208143913711</v>
      </c>
      <c r="AD27" s="28">
        <f t="shared" si="30"/>
        <v>101443.93325449817</v>
      </c>
      <c r="AE27" s="28">
        <f t="shared" si="30"/>
        <v>138313.25901429704</v>
      </c>
      <c r="AF27" s="28">
        <f t="shared" si="30"/>
        <v>195848.69528343726</v>
      </c>
      <c r="AG27" s="16"/>
      <c r="AH27" s="16"/>
    </row>
    <row r="28" spans="1:34" x14ac:dyDescent="0.35">
      <c r="A28" s="20"/>
      <c r="B28" s="16"/>
      <c r="C28" s="12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0"/>
      <c r="R28" s="39"/>
      <c r="S28" s="17"/>
      <c r="T28" s="10"/>
      <c r="U28" s="16"/>
      <c r="V28" s="16"/>
      <c r="W28" s="16"/>
      <c r="X28" s="16"/>
      <c r="Y28" s="16"/>
      <c r="Z28" s="16"/>
      <c r="AA28" s="10"/>
      <c r="AB28" s="16"/>
      <c r="AC28" s="17"/>
      <c r="AD28" s="17"/>
      <c r="AE28" s="17"/>
      <c r="AF28" s="17"/>
      <c r="AG28" s="16"/>
      <c r="AH28" s="16"/>
    </row>
    <row r="29" spans="1:34" x14ac:dyDescent="0.35">
      <c r="A29" s="11" t="s">
        <v>34</v>
      </c>
      <c r="B29" s="12"/>
      <c r="C29" s="12"/>
      <c r="D29" s="12"/>
      <c r="E29" s="12"/>
      <c r="F29" s="12"/>
      <c r="G29" s="67">
        <f>G30+G31</f>
        <v>12847.848763873333</v>
      </c>
      <c r="H29" s="67">
        <f t="shared" ref="H29:R29" si="31">H30+H31</f>
        <v>12207.337783333332</v>
      </c>
      <c r="I29" s="67">
        <f t="shared" si="31"/>
        <v>3488.4927833333331</v>
      </c>
      <c r="J29" s="67">
        <f t="shared" si="31"/>
        <v>9030.8905333333332</v>
      </c>
      <c r="K29" s="67">
        <f t="shared" si="31"/>
        <v>67721.40754950972</v>
      </c>
      <c r="L29" s="67">
        <f t="shared" si="31"/>
        <v>3426.1627833333332</v>
      </c>
      <c r="M29" s="67">
        <f t="shared" si="31"/>
        <v>7796.3845333333329</v>
      </c>
      <c r="N29" s="67">
        <f t="shared" si="31"/>
        <v>5754.929783333333</v>
      </c>
      <c r="O29" s="67">
        <f t="shared" si="31"/>
        <v>2507.7577833333335</v>
      </c>
      <c r="P29" s="67">
        <f t="shared" si="31"/>
        <v>6714.5421027933344</v>
      </c>
      <c r="Q29" s="67">
        <f t="shared" si="31"/>
        <v>5601.3277833333332</v>
      </c>
      <c r="R29" s="67">
        <f t="shared" si="31"/>
        <v>2375.3885833333334</v>
      </c>
      <c r="S29" s="17"/>
      <c r="T29" s="28">
        <f>T30+T31</f>
        <v>139472.47076617638</v>
      </c>
      <c r="U29" s="16"/>
      <c r="V29" s="28">
        <f t="shared" ref="V29:Y29" si="32">V30+V31</f>
        <v>28543.679330539999</v>
      </c>
      <c r="W29" s="28">
        <f t="shared" si="32"/>
        <v>80178.460866176378</v>
      </c>
      <c r="X29" s="28">
        <f t="shared" si="32"/>
        <v>16059.072099999999</v>
      </c>
      <c r="Y29" s="28">
        <f t="shared" si="32"/>
        <v>14691.258469460001</v>
      </c>
      <c r="Z29" s="16"/>
      <c r="AA29" s="28">
        <f t="shared" ref="AA29" si="33">AA30+AA31</f>
        <v>139472.47076617638</v>
      </c>
      <c r="AB29" s="16"/>
      <c r="AC29" s="28">
        <f t="shared" ref="AC29:AF29" si="34">AC30+AC31</f>
        <v>28543.679330539999</v>
      </c>
      <c r="AD29" s="28">
        <f t="shared" si="34"/>
        <v>108722.14019671638</v>
      </c>
      <c r="AE29" s="28">
        <f t="shared" si="34"/>
        <v>124781.21229671639</v>
      </c>
      <c r="AF29" s="28">
        <f t="shared" si="34"/>
        <v>139472.47076617638</v>
      </c>
      <c r="AG29" s="16"/>
      <c r="AH29" s="16"/>
    </row>
    <row r="30" spans="1:34" x14ac:dyDescent="0.35">
      <c r="A30" s="11"/>
      <c r="B30" s="12" t="s">
        <v>25</v>
      </c>
      <c r="C30" s="12"/>
      <c r="D30" s="12"/>
      <c r="E30" s="12"/>
      <c r="F30" s="12"/>
      <c r="G30" s="42">
        <v>11128.631430539999</v>
      </c>
      <c r="H30" s="42">
        <v>10200</v>
      </c>
      <c r="I30" s="42">
        <v>1400</v>
      </c>
      <c r="J30" s="42">
        <v>7200</v>
      </c>
      <c r="K30" s="42">
        <v>5200</v>
      </c>
      <c r="L30" s="42">
        <v>1400</v>
      </c>
      <c r="M30" s="42">
        <v>6400</v>
      </c>
      <c r="N30" s="42">
        <v>5200</v>
      </c>
      <c r="O30" s="42">
        <v>1400</v>
      </c>
      <c r="P30" s="42">
        <v>5946.6755694600015</v>
      </c>
      <c r="Q30" s="42">
        <v>5200</v>
      </c>
      <c r="R30" s="42">
        <v>1400</v>
      </c>
      <c r="S30" s="17"/>
      <c r="T30" s="10">
        <f t="shared" ref="T30:T31" si="35">SUM(G30:R30)</f>
        <v>62075.307000000001</v>
      </c>
      <c r="U30" s="16"/>
      <c r="V30" s="17">
        <f>SUM(G30:I30)</f>
        <v>22728.631430540001</v>
      </c>
      <c r="W30" s="17">
        <f>SUM(J30:L30)</f>
        <v>13800</v>
      </c>
      <c r="X30" s="17">
        <f>SUM(M30:O30)</f>
        <v>13000</v>
      </c>
      <c r="Y30" s="17">
        <f>SUM(P30:R30)</f>
        <v>12546.675569460001</v>
      </c>
      <c r="Z30" s="16"/>
      <c r="AA30" s="10">
        <f t="shared" ref="AA30:AA34" si="36">SUM(V30:Y30)</f>
        <v>62075.307000000001</v>
      </c>
      <c r="AB30" s="16"/>
      <c r="AC30" s="17">
        <f>V30</f>
        <v>22728.631430540001</v>
      </c>
      <c r="AD30" s="17">
        <f t="shared" ref="AD30:AF31" si="37">AC30+W30</f>
        <v>36528.631430540001</v>
      </c>
      <c r="AE30" s="17">
        <f t="shared" si="37"/>
        <v>49528.631430540001</v>
      </c>
      <c r="AF30" s="17">
        <f t="shared" si="37"/>
        <v>62075.307000000001</v>
      </c>
      <c r="AG30" s="16"/>
      <c r="AH30" s="16"/>
    </row>
    <row r="31" spans="1:34" x14ac:dyDescent="0.35">
      <c r="A31" s="12"/>
      <c r="B31" s="12" t="s">
        <v>26</v>
      </c>
      <c r="C31" s="12"/>
      <c r="D31" s="12"/>
      <c r="E31" s="12"/>
      <c r="F31" s="13"/>
      <c r="G31" s="42">
        <v>1719.2173333333333</v>
      </c>
      <c r="H31" s="42">
        <v>2007.3377833333332</v>
      </c>
      <c r="I31" s="42">
        <v>2088.4927833333331</v>
      </c>
      <c r="J31" s="42">
        <v>1830.8905333333332</v>
      </c>
      <c r="K31" s="42">
        <v>62521.40754950972</v>
      </c>
      <c r="L31" s="42">
        <v>2026.1627833333332</v>
      </c>
      <c r="M31" s="42">
        <v>1396.3845333333331</v>
      </c>
      <c r="N31" s="42">
        <v>554.92978333333338</v>
      </c>
      <c r="O31" s="42">
        <v>1107.7577833333332</v>
      </c>
      <c r="P31" s="42">
        <v>767.86653333333322</v>
      </c>
      <c r="Q31" s="42">
        <v>401.32778333333334</v>
      </c>
      <c r="R31" s="42">
        <v>975.38858333333326</v>
      </c>
      <c r="S31" s="17"/>
      <c r="T31" s="10">
        <f t="shared" si="35"/>
        <v>77397.163766176382</v>
      </c>
      <c r="U31" s="16"/>
      <c r="V31" s="17">
        <f>SUM(G31:I31)</f>
        <v>5815.0478999999996</v>
      </c>
      <c r="W31" s="17">
        <f>SUM(J31:L31)</f>
        <v>66378.460866176378</v>
      </c>
      <c r="X31" s="17">
        <f>SUM(M31:O31)</f>
        <v>3059.0720999999994</v>
      </c>
      <c r="Y31" s="17">
        <f>SUM(P31:R31)</f>
        <v>2144.5828999999999</v>
      </c>
      <c r="Z31" s="16"/>
      <c r="AA31" s="10">
        <f t="shared" si="36"/>
        <v>77397.163766176382</v>
      </c>
      <c r="AB31" s="16"/>
      <c r="AC31" s="17">
        <f>V31</f>
        <v>5815.0478999999996</v>
      </c>
      <c r="AD31" s="17">
        <f t="shared" si="37"/>
        <v>72193.508766176383</v>
      </c>
      <c r="AE31" s="17">
        <f t="shared" si="37"/>
        <v>75252.580866176388</v>
      </c>
      <c r="AF31" s="17">
        <f t="shared" si="37"/>
        <v>77397.163766176382</v>
      </c>
      <c r="AG31" s="16"/>
      <c r="AH31" s="16"/>
    </row>
    <row r="32" spans="1:34" x14ac:dyDescent="0.35">
      <c r="A32" s="12"/>
      <c r="B32" s="12"/>
      <c r="C32" s="12"/>
      <c r="D32" s="12"/>
      <c r="E32" s="12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7"/>
      <c r="T32" s="10"/>
      <c r="U32" s="16"/>
      <c r="V32" s="16"/>
      <c r="W32" s="16"/>
      <c r="X32" s="16"/>
      <c r="Y32" s="16"/>
      <c r="Z32" s="16"/>
      <c r="AA32" s="10"/>
      <c r="AB32" s="16"/>
      <c r="AC32" s="17"/>
      <c r="AD32" s="17"/>
      <c r="AE32" s="17"/>
      <c r="AF32" s="17"/>
      <c r="AG32" s="16"/>
      <c r="AH32" s="16"/>
    </row>
    <row r="33" spans="1:34" ht="15.5" x14ac:dyDescent="0.35">
      <c r="A33" s="26" t="s">
        <v>75</v>
      </c>
      <c r="B33" s="27"/>
      <c r="C33" s="12"/>
      <c r="D33" s="12"/>
      <c r="E33" s="12"/>
      <c r="F33" s="12"/>
      <c r="G33" s="28">
        <v>9.1</v>
      </c>
      <c r="H33" s="28">
        <v>9.1</v>
      </c>
      <c r="I33" s="28">
        <v>557.84202789000005</v>
      </c>
      <c r="J33" s="28">
        <v>1419.1312347355699</v>
      </c>
      <c r="K33" s="28">
        <v>9.1</v>
      </c>
      <c r="L33" s="28">
        <v>9.1</v>
      </c>
      <c r="M33" s="28">
        <v>387.52472222</v>
      </c>
      <c r="N33" s="28">
        <v>9140.3921538407103</v>
      </c>
      <c r="O33" s="28">
        <v>557.84202789000005</v>
      </c>
      <c r="P33" s="28">
        <v>1409.1156375266801</v>
      </c>
      <c r="Q33" s="28">
        <v>9.1</v>
      </c>
      <c r="R33" s="28">
        <v>2308.85219589704</v>
      </c>
      <c r="S33" s="17"/>
      <c r="T33" s="28">
        <f t="shared" ref="T33:T34" si="38">SUM(G33:R33)</f>
        <v>15826.199999999999</v>
      </c>
      <c r="U33" s="16"/>
      <c r="V33" s="22">
        <f>SUM(G33:I33)</f>
        <v>576.0420278900001</v>
      </c>
      <c r="W33" s="22">
        <f>SUM(J33:L33)</f>
        <v>1437.3312347355698</v>
      </c>
      <c r="X33" s="22">
        <f>SUM(M33:O33)</f>
        <v>10085.758903950709</v>
      </c>
      <c r="Y33" s="22">
        <f>SUM(P33:R33)</f>
        <v>3727.06783342372</v>
      </c>
      <c r="Z33" s="20"/>
      <c r="AA33" s="28">
        <f t="shared" si="36"/>
        <v>15826.199999999999</v>
      </c>
      <c r="AB33" s="16"/>
      <c r="AC33" s="22">
        <f>V33</f>
        <v>576.0420278900001</v>
      </c>
      <c r="AD33" s="22">
        <f t="shared" ref="AD33:AF34" si="39">AC33+W33</f>
        <v>2013.3732626255699</v>
      </c>
      <c r="AE33" s="22">
        <f t="shared" si="39"/>
        <v>12099.132166576279</v>
      </c>
      <c r="AF33" s="22">
        <f t="shared" si="39"/>
        <v>15826.199999999999</v>
      </c>
      <c r="AG33" s="16"/>
      <c r="AH33" s="16"/>
    </row>
    <row r="34" spans="1:34" ht="15.5" x14ac:dyDescent="0.35">
      <c r="A34" s="26" t="s">
        <v>76</v>
      </c>
      <c r="B34" s="27"/>
      <c r="C34" s="12"/>
      <c r="D34" s="12"/>
      <c r="E34" s="12"/>
      <c r="F34" s="12"/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8537</v>
      </c>
      <c r="S34" s="17"/>
      <c r="T34" s="28">
        <f t="shared" si="38"/>
        <v>8537</v>
      </c>
      <c r="U34" s="16"/>
      <c r="V34" s="22">
        <f>SUM(G34:I34)</f>
        <v>0</v>
      </c>
      <c r="W34" s="22">
        <f>SUM(J34:L34)</f>
        <v>0</v>
      </c>
      <c r="X34" s="22">
        <f>SUM(M34:O34)</f>
        <v>0</v>
      </c>
      <c r="Y34" s="22">
        <f>SUM(P34:R34)</f>
        <v>8537</v>
      </c>
      <c r="Z34" s="20"/>
      <c r="AA34" s="28">
        <f t="shared" si="36"/>
        <v>8537</v>
      </c>
      <c r="AB34" s="16"/>
      <c r="AC34" s="22">
        <f>V34</f>
        <v>0</v>
      </c>
      <c r="AD34" s="22">
        <f t="shared" si="39"/>
        <v>0</v>
      </c>
      <c r="AE34" s="22">
        <f t="shared" si="39"/>
        <v>0</v>
      </c>
      <c r="AF34" s="22">
        <f t="shared" si="39"/>
        <v>8537</v>
      </c>
      <c r="AG34" s="16"/>
      <c r="AH34" s="16"/>
    </row>
    <row r="35" spans="1:34" ht="15.5" x14ac:dyDescent="0.35">
      <c r="A35" s="26"/>
      <c r="B35" s="27"/>
      <c r="C35" s="12"/>
      <c r="D35" s="12"/>
      <c r="E35" s="12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7"/>
      <c r="T35" s="10"/>
      <c r="U35" s="16"/>
      <c r="V35" s="16"/>
      <c r="W35" s="16"/>
      <c r="X35" s="16"/>
      <c r="Y35" s="16"/>
      <c r="Z35" s="16"/>
      <c r="AA35" s="10"/>
      <c r="AB35" s="16"/>
      <c r="AC35" s="17"/>
      <c r="AD35" s="17"/>
      <c r="AE35" s="17"/>
      <c r="AF35" s="17"/>
      <c r="AG35" s="16"/>
      <c r="AH35" s="16"/>
    </row>
    <row r="36" spans="1:34" x14ac:dyDescent="0.35">
      <c r="A36" s="11" t="s">
        <v>31</v>
      </c>
      <c r="B36" s="12"/>
      <c r="C36" s="12"/>
      <c r="D36" s="12"/>
      <c r="E36" s="12"/>
      <c r="F36" s="12"/>
      <c r="G36" s="67">
        <f>+G37+G38</f>
        <v>5181.6097081356602</v>
      </c>
      <c r="H36" s="67">
        <f t="shared" ref="H36:R36" si="40">+H37+H38</f>
        <v>6501.0665794833203</v>
      </c>
      <c r="I36" s="67">
        <f t="shared" si="40"/>
        <v>6069.6213525587</v>
      </c>
      <c r="J36" s="67">
        <f t="shared" si="40"/>
        <v>30357.523773561141</v>
      </c>
      <c r="K36" s="67">
        <f t="shared" si="40"/>
        <v>8627.1856824461611</v>
      </c>
      <c r="L36" s="67">
        <f t="shared" si="40"/>
        <v>3772.4364501989003</v>
      </c>
      <c r="M36" s="67">
        <f t="shared" si="40"/>
        <v>4388.3131692493207</v>
      </c>
      <c r="N36" s="67">
        <f t="shared" si="40"/>
        <v>31849.474702239542</v>
      </c>
      <c r="O36" s="67">
        <f t="shared" si="40"/>
        <v>6080.71733216128</v>
      </c>
      <c r="P36" s="67">
        <f t="shared" si="40"/>
        <v>10266.43287976092</v>
      </c>
      <c r="Q36" s="67">
        <f t="shared" si="40"/>
        <v>8601.2078215803995</v>
      </c>
      <c r="R36" s="67">
        <f t="shared" si="40"/>
        <v>3756.43935407858</v>
      </c>
      <c r="S36" s="17"/>
      <c r="T36" s="28">
        <f>+T37+T38</f>
        <v>125452.02880545393</v>
      </c>
      <c r="U36" s="16"/>
      <c r="V36" s="28">
        <f>+V37+V38</f>
        <v>17752.297640177683</v>
      </c>
      <c r="W36" s="28">
        <f t="shared" ref="W36:Y36" si="41">+W37+W38</f>
        <v>42757.145906206206</v>
      </c>
      <c r="X36" s="28">
        <f t="shared" si="41"/>
        <v>42318.505203650144</v>
      </c>
      <c r="Y36" s="28">
        <f t="shared" si="41"/>
        <v>22624.080055419898</v>
      </c>
      <c r="Z36" s="16"/>
      <c r="AA36" s="28">
        <f>+AA37+AA38</f>
        <v>125452.02880545393</v>
      </c>
      <c r="AB36" s="16"/>
      <c r="AC36" s="28">
        <f t="shared" ref="AC36:AF36" si="42">+AC37+AC38</f>
        <v>17752.297640177683</v>
      </c>
      <c r="AD36" s="28">
        <f t="shared" si="42"/>
        <v>60509.443546383889</v>
      </c>
      <c r="AE36" s="28">
        <f t="shared" si="42"/>
        <v>102827.94875003403</v>
      </c>
      <c r="AF36" s="28">
        <f t="shared" si="42"/>
        <v>125452.02880545393</v>
      </c>
      <c r="AG36" s="16"/>
      <c r="AH36" s="16"/>
    </row>
    <row r="37" spans="1:34" x14ac:dyDescent="0.35">
      <c r="A37" s="12" t="s">
        <v>32</v>
      </c>
      <c r="B37" s="12" t="s">
        <v>25</v>
      </c>
      <c r="C37" s="12"/>
      <c r="D37" s="12"/>
      <c r="E37" s="12"/>
      <c r="F37" s="12"/>
      <c r="G37" s="10">
        <v>2116.0474444444399</v>
      </c>
      <c r="H37" s="10">
        <v>2116.0474444444399</v>
      </c>
      <c r="I37" s="10">
        <v>1360.5767777777801</v>
      </c>
      <c r="J37" s="10">
        <v>2116.0474444444399</v>
      </c>
      <c r="K37" s="10">
        <v>2116.0474444444399</v>
      </c>
      <c r="L37" s="10">
        <v>1360.5767777777801</v>
      </c>
      <c r="M37" s="10">
        <v>1360.5767777777801</v>
      </c>
      <c r="N37" s="10">
        <v>2116.0474444444399</v>
      </c>
      <c r="O37" s="10">
        <v>1360.5767777777801</v>
      </c>
      <c r="P37" s="10">
        <v>2116.0474444444399</v>
      </c>
      <c r="Q37" s="10">
        <v>2181.83844444444</v>
      </c>
      <c r="R37" s="10">
        <v>1360.8267777777801</v>
      </c>
      <c r="S37" s="17"/>
      <c r="T37" s="10">
        <f t="shared" ref="T37:T38" si="43">SUM(G37:R37)</f>
        <v>21681.256999999983</v>
      </c>
      <c r="U37" s="16"/>
      <c r="V37" s="17">
        <f>SUM(G37:I37)</f>
        <v>5592.6716666666598</v>
      </c>
      <c r="W37" s="17">
        <f>SUM(J37:L37)</f>
        <v>5592.6716666666598</v>
      </c>
      <c r="X37" s="17">
        <f>SUM(M37:O37)</f>
        <v>4837.201</v>
      </c>
      <c r="Y37" s="17">
        <f>SUM(P37:R37)</f>
        <v>5658.71266666666</v>
      </c>
      <c r="Z37" s="16"/>
      <c r="AA37" s="10">
        <f t="shared" ref="AA37:AA38" si="44">SUM(V37:Y37)</f>
        <v>21681.25699999998</v>
      </c>
      <c r="AB37" s="16"/>
      <c r="AC37" s="17">
        <f>V37</f>
        <v>5592.6716666666598</v>
      </c>
      <c r="AD37" s="17">
        <f t="shared" ref="AD37:AF38" si="45">AC37+W37</f>
        <v>11185.34333333332</v>
      </c>
      <c r="AE37" s="17">
        <f t="shared" si="45"/>
        <v>16022.544333333321</v>
      </c>
      <c r="AF37" s="17">
        <f t="shared" si="45"/>
        <v>21681.25699999998</v>
      </c>
      <c r="AG37" s="16"/>
      <c r="AH37" s="16"/>
    </row>
    <row r="38" spans="1:34" x14ac:dyDescent="0.35">
      <c r="A38" s="12" t="s">
        <v>33</v>
      </c>
      <c r="B38" s="12" t="s">
        <v>26</v>
      </c>
      <c r="C38" s="12"/>
      <c r="D38" s="12"/>
      <c r="E38" s="12"/>
      <c r="F38" s="12"/>
      <c r="G38" s="10">
        <v>3065.5622636912199</v>
      </c>
      <c r="H38" s="10">
        <v>4385.0191350388804</v>
      </c>
      <c r="I38" s="10">
        <v>4709.0445747809199</v>
      </c>
      <c r="J38" s="10">
        <v>28241.4763291167</v>
      </c>
      <c r="K38" s="10">
        <v>6511.1382380017203</v>
      </c>
      <c r="L38" s="10">
        <v>2411.8596724211202</v>
      </c>
      <c r="M38" s="10">
        <v>3027.7363914715402</v>
      </c>
      <c r="N38" s="10">
        <v>29733.427257795101</v>
      </c>
      <c r="O38" s="10">
        <v>4720.1405543834999</v>
      </c>
      <c r="P38" s="10">
        <v>8150.3854353164797</v>
      </c>
      <c r="Q38" s="10">
        <v>6419.3693771359603</v>
      </c>
      <c r="R38" s="10">
        <v>2395.6125763007999</v>
      </c>
      <c r="S38" s="17"/>
      <c r="T38" s="10">
        <f t="shared" si="43"/>
        <v>103770.77180545394</v>
      </c>
      <c r="U38" s="16"/>
      <c r="V38" s="17">
        <f>SUM(G38:I38)</f>
        <v>12159.625973511022</v>
      </c>
      <c r="W38" s="17">
        <f>SUM(J38:L38)</f>
        <v>37164.474239539544</v>
      </c>
      <c r="X38" s="17">
        <f>SUM(M38:O38)</f>
        <v>37481.304203650143</v>
      </c>
      <c r="Y38" s="17">
        <f>SUM(P38:R38)</f>
        <v>16965.367388753239</v>
      </c>
      <c r="Z38" s="16"/>
      <c r="AA38" s="10">
        <f t="shared" si="44"/>
        <v>103770.77180545394</v>
      </c>
      <c r="AB38" s="16"/>
      <c r="AC38" s="17">
        <f>V38</f>
        <v>12159.625973511022</v>
      </c>
      <c r="AD38" s="17">
        <f t="shared" si="45"/>
        <v>49324.100213050566</v>
      </c>
      <c r="AE38" s="17">
        <f t="shared" si="45"/>
        <v>86805.404416700709</v>
      </c>
      <c r="AF38" s="17">
        <f t="shared" si="45"/>
        <v>103770.77180545394</v>
      </c>
      <c r="AG38" s="16"/>
      <c r="AH38" s="16"/>
    </row>
    <row r="39" spans="1:34" x14ac:dyDescent="0.35"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7"/>
      <c r="T39" s="30"/>
    </row>
    <row r="40" spans="1:34" x14ac:dyDescent="0.35">
      <c r="A40" s="21" t="s">
        <v>74</v>
      </c>
      <c r="B40" s="21"/>
      <c r="C40" s="21"/>
      <c r="D40" s="21"/>
      <c r="E40" s="21"/>
      <c r="F40" s="21"/>
      <c r="G40" s="29">
        <f>G27+G29+G33-G36-G34</f>
        <v>38587.057601951528</v>
      </c>
      <c r="H40" s="29">
        <f t="shared" ref="H40:Q40" si="46">H27+H29+H33-H36-H34</f>
        <v>14866.528051277231</v>
      </c>
      <c r="I40" s="29">
        <f t="shared" si="46"/>
        <v>29606.046208937252</v>
      </c>
      <c r="J40" s="29">
        <f>J27+J29+J33-J36-J34</f>
        <v>-9442.1173617014319</v>
      </c>
      <c r="K40" s="29">
        <f t="shared" si="46"/>
        <v>58236.369662908153</v>
      </c>
      <c r="L40" s="29">
        <f t="shared" si="46"/>
        <v>19816.119004083444</v>
      </c>
      <c r="M40" s="29">
        <f t="shared" si="46"/>
        <v>964.73243659784475</v>
      </c>
      <c r="N40" s="29">
        <f t="shared" si="46"/>
        <v>-8451.270978282304</v>
      </c>
      <c r="O40" s="29">
        <f t="shared" si="46"/>
        <v>28182.190101783854</v>
      </c>
      <c r="P40" s="29">
        <f t="shared" si="46"/>
        <v>962.41520805395703</v>
      </c>
      <c r="Q40" s="29">
        <f t="shared" si="46"/>
        <v>36.891756565290052</v>
      </c>
      <c r="R40" s="29">
        <f>R27+R29+R33-R36-R34</f>
        <v>43793.375551984878</v>
      </c>
      <c r="S40" s="17"/>
      <c r="T40" s="29">
        <f>T27+T29+T33-T36-T34</f>
        <v>217158.3372441596</v>
      </c>
      <c r="U40" s="16"/>
      <c r="V40" s="29">
        <f>V27+V29+V33-V36-V34</f>
        <v>83059.631862166032</v>
      </c>
      <c r="W40" s="29">
        <f>W27+W29+W33-W36-W34</f>
        <v>68610.371305290144</v>
      </c>
      <c r="X40" s="29">
        <f t="shared" ref="X40:Y40" si="47">X27+X29+X33-X36-X34</f>
        <v>20695.651560099315</v>
      </c>
      <c r="Y40" s="29">
        <f t="shared" si="47"/>
        <v>44792.682516604196</v>
      </c>
      <c r="Z40" s="16"/>
      <c r="AA40" s="29">
        <f>AA27+AA29+AA33-AA36-AA34</f>
        <v>217158.33724415972</v>
      </c>
      <c r="AB40" s="16"/>
      <c r="AC40" s="29">
        <f>AC27+AC29+AC33-AC36-AC34</f>
        <v>83059.631862166032</v>
      </c>
      <c r="AD40" s="29">
        <f t="shared" ref="AD40:AE40" si="48">AD27+AD29+AD33-AD36-AD34</f>
        <v>151670.00316745625</v>
      </c>
      <c r="AE40" s="29">
        <f t="shared" si="48"/>
        <v>172365.65472755569</v>
      </c>
      <c r="AF40" s="29">
        <f>AF27+AF29+AF33-AF36-AF34</f>
        <v>217158.33724415972</v>
      </c>
      <c r="AG40" s="16"/>
      <c r="AH40" s="16"/>
    </row>
    <row r="41" spans="1:34" s="62" customFormat="1" x14ac:dyDescent="0.35">
      <c r="A41" s="49" t="s">
        <v>30</v>
      </c>
      <c r="B41" s="49"/>
      <c r="C41" s="49"/>
      <c r="D41" s="49"/>
      <c r="E41" s="49"/>
      <c r="F41" s="49"/>
      <c r="G41" s="60">
        <f>+G27+G20</f>
        <v>44624.303512727638</v>
      </c>
      <c r="H41" s="60">
        <f t="shared" ref="H41:R41" si="49">+H27+H20</f>
        <v>19357.87777742698</v>
      </c>
      <c r="I41" s="60">
        <f t="shared" si="49"/>
        <v>41141.369497972708</v>
      </c>
      <c r="J41" s="60">
        <f t="shared" si="49"/>
        <v>27549.328461987418</v>
      </c>
      <c r="K41" s="60">
        <f t="shared" si="49"/>
        <v>14539.963957059204</v>
      </c>
      <c r="L41" s="60">
        <f t="shared" si="49"/>
        <v>32277.329162975744</v>
      </c>
      <c r="M41" s="60">
        <f>+M27+M20</f>
        <v>10785.611905888432</v>
      </c>
      <c r="N41" s="60">
        <f t="shared" si="49"/>
        <v>18684.434545810167</v>
      </c>
      <c r="O41" s="60">
        <f t="shared" si="49"/>
        <v>40589.990934344925</v>
      </c>
      <c r="P41" s="60">
        <f t="shared" si="49"/>
        <v>19317.972836868561</v>
      </c>
      <c r="Q41" s="60">
        <f t="shared" si="49"/>
        <v>18379.134388767616</v>
      </c>
      <c r="R41" s="60">
        <f t="shared" si="49"/>
        <v>63758.898723267419</v>
      </c>
      <c r="S41" s="49"/>
      <c r="T41" s="60">
        <f>+T27+T20</f>
        <v>351006.21570509672</v>
      </c>
      <c r="U41" s="49"/>
      <c r="V41" s="60">
        <f>+V27+V20</f>
        <v>105123.55078812734</v>
      </c>
      <c r="W41" s="60">
        <f t="shared" ref="W41:Y41" si="50">+W27+W20</f>
        <v>74366.621582022373</v>
      </c>
      <c r="X41" s="60">
        <f t="shared" si="50"/>
        <v>70060.037386043463</v>
      </c>
      <c r="Y41" s="60">
        <f t="shared" si="50"/>
        <v>101456.00594890365</v>
      </c>
      <c r="Z41" s="49"/>
      <c r="AA41" s="60">
        <f>+AA27+AA20</f>
        <v>351006.21570509684</v>
      </c>
      <c r="AB41" s="49"/>
      <c r="AC41" s="60">
        <f t="shared" ref="AC41:AF41" si="51">+AC27+AC20</f>
        <v>105123.55078812734</v>
      </c>
      <c r="AD41" s="60">
        <f t="shared" si="51"/>
        <v>179490.17237014975</v>
      </c>
      <c r="AE41" s="60">
        <f t="shared" si="51"/>
        <v>249550.20975619333</v>
      </c>
      <c r="AF41" s="60">
        <f t="shared" si="51"/>
        <v>351006.21570509684</v>
      </c>
      <c r="AG41" s="61"/>
      <c r="AH41" s="61"/>
    </row>
    <row r="42" spans="1:34" x14ac:dyDescent="0.35">
      <c r="A42" s="16"/>
      <c r="B42" s="16"/>
      <c r="C42" s="16"/>
      <c r="D42" s="16"/>
      <c r="E42" s="16"/>
      <c r="F42" s="16"/>
      <c r="G42" s="17"/>
      <c r="H42" s="17"/>
      <c r="I42" s="17"/>
      <c r="J42" s="17"/>
      <c r="K42" s="17"/>
      <c r="L42" s="17"/>
      <c r="M42" s="17">
        <f>N43-N42</f>
        <v>20388.026465170784</v>
      </c>
      <c r="N42" s="17">
        <v>133895.47598937468</v>
      </c>
      <c r="P42" s="17"/>
      <c r="Q42" s="17"/>
      <c r="R42" s="17">
        <f>T16-N42</f>
        <v>155910.92901062529</v>
      </c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x14ac:dyDescent="0.35">
      <c r="A43" s="63"/>
      <c r="B43" s="18"/>
      <c r="C43" s="18"/>
      <c r="D43" s="18"/>
      <c r="E43" s="18"/>
      <c r="F43" s="18"/>
      <c r="G43" s="19"/>
      <c r="H43" s="19"/>
      <c r="I43" s="19">
        <f>H23+J23-750-200</f>
        <v>384.57679999999982</v>
      </c>
      <c r="J43" s="19"/>
      <c r="K43" s="19"/>
      <c r="L43" s="19"/>
      <c r="M43" s="19"/>
      <c r="N43" s="19">
        <f>SUM(G16:L16)</f>
        <v>154283.50245454547</v>
      </c>
      <c r="O43" s="19">
        <f>SUM(M16:R16)</f>
        <v>135522.90254545456</v>
      </c>
      <c r="P43" s="19">
        <f>N43-O43</f>
        <v>18760.599909090903</v>
      </c>
      <c r="Q43" s="19"/>
      <c r="R43" s="19"/>
      <c r="S43" s="16"/>
      <c r="T43" s="19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x14ac:dyDescent="0.35">
      <c r="A44" s="63"/>
      <c r="B44" s="16"/>
      <c r="C44" s="16"/>
      <c r="D44" s="16"/>
      <c r="E44" s="16"/>
      <c r="F44" s="16"/>
      <c r="G44" s="17"/>
      <c r="H44" s="17"/>
      <c r="I44" s="17">
        <v>384.57679999999982</v>
      </c>
      <c r="J44" s="17"/>
      <c r="K44" s="17"/>
      <c r="L44" s="17"/>
      <c r="M44" s="17"/>
      <c r="N44" s="17">
        <v>128118.87362386004</v>
      </c>
      <c r="O44" s="17">
        <v>149184.52220204996</v>
      </c>
      <c r="P44" s="17"/>
      <c r="Q44" s="17"/>
      <c r="R44" s="17">
        <f>N44+O44</f>
        <v>277303.39582591003</v>
      </c>
      <c r="S44" s="16"/>
      <c r="T44" s="10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x14ac:dyDescent="0.35">
      <c r="N45" s="24">
        <f>N43-N44</f>
        <v>26164.628830685426</v>
      </c>
      <c r="O45" s="24">
        <f>O43-O44</f>
        <v>-13661.619656595401</v>
      </c>
      <c r="R45" s="24">
        <f>T16-R44</f>
        <v>12503.009174089937</v>
      </c>
    </row>
    <row r="47" spans="1:34" x14ac:dyDescent="0.35">
      <c r="G47">
        <v>24456.607017630002</v>
      </c>
      <c r="H47">
        <v>18795.695973870002</v>
      </c>
      <c r="I47">
        <v>22461.666798530001</v>
      </c>
      <c r="J47">
        <v>20336.253428409997</v>
      </c>
      <c r="K47">
        <v>23835.796012579998</v>
      </c>
      <c r="L47">
        <v>18232.854392840029</v>
      </c>
      <c r="M47">
        <v>20982.243346039955</v>
      </c>
      <c r="N47">
        <v>18442.427089889945</v>
      </c>
      <c r="O47">
        <v>25811.32841966</v>
      </c>
      <c r="P47">
        <v>24366.047580800001</v>
      </c>
      <c r="Q47">
        <v>18918.388458310004</v>
      </c>
      <c r="R47">
        <v>40664.08730735007</v>
      </c>
    </row>
    <row r="48" spans="1:34" x14ac:dyDescent="0.35">
      <c r="G48" s="24">
        <f>G16-G47</f>
        <v>-100.12801763000243</v>
      </c>
      <c r="H48" s="24">
        <f t="shared" ref="H48:L48" si="52">H16-H47</f>
        <v>5604.6681170390912</v>
      </c>
      <c r="I48" s="24">
        <f t="shared" si="52"/>
        <v>885.65129237909059</v>
      </c>
      <c r="J48" s="24">
        <f t="shared" si="52"/>
        <v>5525.7406624990945</v>
      </c>
      <c r="K48" s="24">
        <f t="shared" si="52"/>
        <v>3396.7360783290933</v>
      </c>
      <c r="L48" s="24">
        <f t="shared" si="52"/>
        <v>10851.960698069062</v>
      </c>
    </row>
    <row r="52" spans="7:23" x14ac:dyDescent="0.35">
      <c r="H52" t="s">
        <v>82</v>
      </c>
      <c r="I52" t="s">
        <v>85</v>
      </c>
    </row>
    <row r="53" spans="7:23" x14ac:dyDescent="0.35">
      <c r="G53" t="s">
        <v>83</v>
      </c>
      <c r="H53">
        <v>122</v>
      </c>
      <c r="I53">
        <v>92.4</v>
      </c>
    </row>
    <row r="54" spans="7:23" x14ac:dyDescent="0.35">
      <c r="G54" t="s">
        <v>84</v>
      </c>
      <c r="H54">
        <v>142.9</v>
      </c>
      <c r="I54">
        <v>111.7</v>
      </c>
    </row>
    <row r="55" spans="7:23" x14ac:dyDescent="0.35">
      <c r="H55">
        <f>H54-H53</f>
        <v>20.900000000000006</v>
      </c>
      <c r="I55">
        <f>I54-I53</f>
        <v>19.299999999999997</v>
      </c>
    </row>
    <row r="57" spans="7:23" x14ac:dyDescent="0.35">
      <c r="G57">
        <v>25559.302428184979</v>
      </c>
      <c r="H57">
        <v>19643.153173212188</v>
      </c>
      <c r="I57">
        <v>23474.414677837191</v>
      </c>
      <c r="J57">
        <v>21253.171024838044</v>
      </c>
      <c r="K57">
        <v>24910.500400275705</v>
      </c>
      <c r="L57">
        <v>19054.934285026568</v>
      </c>
      <c r="M57">
        <v>21928.287227930326</v>
      </c>
    </row>
    <row r="58" spans="7:23" x14ac:dyDescent="0.35">
      <c r="G58" s="24">
        <f>G57-G16</f>
        <v>1202.82342818498</v>
      </c>
      <c r="H58" s="24">
        <f t="shared" ref="H58:M58" si="53">H57-H16</f>
        <v>-4757.2109176969061</v>
      </c>
      <c r="I58" s="24">
        <f t="shared" si="53"/>
        <v>127.09658692809899</v>
      </c>
      <c r="J58" s="24">
        <f t="shared" si="53"/>
        <v>-4608.8230660710469</v>
      </c>
      <c r="K58" s="24">
        <f t="shared" si="53"/>
        <v>-2322.0316906333865</v>
      </c>
      <c r="L58" s="24">
        <f t="shared" si="53"/>
        <v>-10029.880805882523</v>
      </c>
      <c r="M58" s="24">
        <f t="shared" si="53"/>
        <v>-1817.8158629787649</v>
      </c>
    </row>
    <row r="61" spans="7:23" x14ac:dyDescent="0.35">
      <c r="G61">
        <f>26782.1327790665-2425.65377906648</f>
        <v>24356.479000000018</v>
      </c>
      <c r="H61">
        <f>20582.9379719057+3817.4261190034</f>
        <v>24400.364090909101</v>
      </c>
      <c r="I61">
        <v>24597.49801776369</v>
      </c>
      <c r="J61">
        <f>22269.9836962585+1000</f>
        <v>23269.9836962585</v>
      </c>
      <c r="K61">
        <f>26102.2902009047-1000</f>
        <v>25102.290200904699</v>
      </c>
      <c r="L61">
        <f>19966.5770046686+2425.65377906648+1000+2000</f>
        <v>25392.230783735082</v>
      </c>
      <c r="M61">
        <v>22977.399395232325</v>
      </c>
      <c r="N61">
        <f>20196.0775153163+1500</f>
        <v>21696.077515316301</v>
      </c>
      <c r="O61">
        <f>28265.6717034011-2000</f>
        <v>26265.671703401102</v>
      </c>
      <c r="P61">
        <f>26682.9622416395-3817.4261190034</f>
        <v>22865.536122636098</v>
      </c>
      <c r="Q61">
        <f>20717.2970188044+1000</f>
        <v>21717.297018804398</v>
      </c>
      <c r="R61">
        <f>44530.747246334-13865.1697912955-2500-1000</f>
        <v>27165.577455038503</v>
      </c>
      <c r="T61" s="10">
        <f>SUM(G61:R61)</f>
        <v>289806.40499999985</v>
      </c>
      <c r="V61" s="24">
        <f>T61-T16</f>
        <v>0</v>
      </c>
      <c r="W61">
        <v>13865.169791295542</v>
      </c>
    </row>
    <row r="63" spans="7:23" x14ac:dyDescent="0.35">
      <c r="G63" s="24">
        <v>2425.6537790664806</v>
      </c>
    </row>
    <row r="65" spans="8:8" x14ac:dyDescent="0.35">
      <c r="H65">
        <v>24400.364090909094</v>
      </c>
    </row>
    <row r="66" spans="8:8" x14ac:dyDescent="0.35">
      <c r="H66">
        <f>H65-H61</f>
        <v>0</v>
      </c>
    </row>
    <row r="67" spans="8:8" x14ac:dyDescent="0.35">
      <c r="H67">
        <v>3817.4261190034049</v>
      </c>
    </row>
  </sheetData>
  <pageMargins left="0.7" right="0.7" top="0.75" bottom="0.75" header="0.3" footer="0.3"/>
  <pageSetup paperSize="5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49"/>
  <sheetViews>
    <sheetView zoomScale="80" zoomScaleNormal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O2" sqref="O2"/>
    </sheetView>
  </sheetViews>
  <sheetFormatPr defaultColWidth="9.08984375" defaultRowHeight="14.5" x14ac:dyDescent="0.35"/>
  <cols>
    <col min="1" max="4" width="2.6328125" customWidth="1"/>
    <col min="5" max="5" width="23.08984375" customWidth="1"/>
    <col min="6" max="6" width="4.54296875" customWidth="1"/>
    <col min="7" max="11" width="10.6328125" customWidth="1"/>
    <col min="12" max="12" width="20.6328125" bestFit="1" customWidth="1"/>
    <col min="13" max="18" width="10.6328125" customWidth="1"/>
    <col min="19" max="19" width="3.90625" customWidth="1"/>
    <col min="20" max="20" width="18.6328125" style="24" bestFit="1" customWidth="1"/>
    <col min="21" max="21" width="3.6328125" customWidth="1"/>
    <col min="22" max="25" width="11" customWidth="1"/>
    <col min="26" max="26" width="2.36328125" customWidth="1"/>
    <col min="27" max="27" width="12.08984375" customWidth="1"/>
    <col min="28" max="28" width="3.90625" customWidth="1"/>
    <col min="29" max="32" width="11" customWidth="1"/>
  </cols>
  <sheetData>
    <row r="1" spans="1:35" ht="17.5" x14ac:dyDescent="0.35">
      <c r="A1" s="1" t="s">
        <v>80</v>
      </c>
      <c r="B1" s="2"/>
      <c r="C1" s="1"/>
      <c r="D1" s="2"/>
      <c r="E1" s="1"/>
      <c r="F1" s="2"/>
      <c r="G1" s="2"/>
      <c r="H1" s="2"/>
      <c r="I1" s="2"/>
      <c r="J1" s="2"/>
      <c r="K1" s="2"/>
      <c r="L1" s="76">
        <f>L16-L3</f>
        <v>2268.5620909090903</v>
      </c>
      <c r="M1" s="77">
        <v>2268.5620909090903</v>
      </c>
      <c r="S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17.5" x14ac:dyDescent="0.35">
      <c r="A2" s="1"/>
      <c r="B2" s="3" t="s">
        <v>0</v>
      </c>
      <c r="C2" s="1"/>
      <c r="D2" s="2"/>
      <c r="E2" s="2"/>
      <c r="F2" s="2"/>
      <c r="G2" s="2"/>
      <c r="H2" s="2"/>
      <c r="I2" s="2"/>
      <c r="J2" s="2"/>
      <c r="K2" s="2"/>
      <c r="L2" s="78">
        <v>1.5</v>
      </c>
      <c r="M2" s="77">
        <v>3.9</v>
      </c>
      <c r="P2" s="33"/>
      <c r="Q2" s="31"/>
      <c r="R2" s="32"/>
      <c r="S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17.5" x14ac:dyDescent="0.35">
      <c r="A3" s="2"/>
      <c r="B3" s="2"/>
      <c r="C3" s="3"/>
      <c r="D3" s="2"/>
      <c r="E3" s="2"/>
      <c r="F3" s="2"/>
      <c r="G3" s="3"/>
      <c r="H3" s="1"/>
      <c r="I3" s="1"/>
      <c r="J3" s="1"/>
      <c r="K3" s="1"/>
      <c r="L3" s="79">
        <v>26816.253000000001</v>
      </c>
      <c r="M3" s="77"/>
      <c r="P3" s="34"/>
      <c r="Q3" s="35"/>
      <c r="R3" s="23"/>
      <c r="S3" s="16"/>
      <c r="T3" s="3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17.5" x14ac:dyDescent="0.35">
      <c r="A4" s="2"/>
      <c r="B4" s="2"/>
      <c r="C4" s="3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6"/>
      <c r="T4" s="25" t="s">
        <v>79</v>
      </c>
      <c r="U4" s="16"/>
      <c r="V4" s="65"/>
      <c r="W4" s="65"/>
      <c r="X4" s="65"/>
      <c r="Y4" s="65"/>
      <c r="Z4" s="16"/>
      <c r="AB4" s="16"/>
      <c r="AC4" s="65"/>
      <c r="AD4" s="65"/>
      <c r="AE4" s="65"/>
      <c r="AF4" s="65"/>
      <c r="AG4" s="16"/>
      <c r="AH4" s="16"/>
      <c r="AI4" s="16"/>
    </row>
    <row r="5" spans="1:35" x14ac:dyDescent="0.35">
      <c r="A5" s="5"/>
      <c r="B5" s="5"/>
      <c r="C5" s="5"/>
      <c r="D5" s="5"/>
      <c r="E5" s="6"/>
      <c r="F5" s="6"/>
      <c r="G5" s="7" t="s">
        <v>1</v>
      </c>
      <c r="H5" s="7" t="s">
        <v>2</v>
      </c>
      <c r="I5" s="8" t="s">
        <v>3</v>
      </c>
      <c r="J5" s="8" t="s">
        <v>4</v>
      </c>
      <c r="K5" s="8" t="s">
        <v>5</v>
      </c>
      <c r="L5" s="8" t="s">
        <v>81</v>
      </c>
      <c r="M5" s="8" t="s">
        <v>6</v>
      </c>
      <c r="N5" s="7" t="s">
        <v>7</v>
      </c>
      <c r="O5" s="7" t="s">
        <v>8</v>
      </c>
      <c r="P5" s="8" t="s">
        <v>9</v>
      </c>
      <c r="Q5" s="8" t="s">
        <v>10</v>
      </c>
      <c r="R5" s="8" t="s">
        <v>11</v>
      </c>
      <c r="S5" s="16"/>
      <c r="T5" s="37" t="s">
        <v>78</v>
      </c>
      <c r="U5" s="16"/>
      <c r="V5" s="8" t="s">
        <v>66</v>
      </c>
      <c r="W5" s="8" t="s">
        <v>67</v>
      </c>
      <c r="X5" s="8" t="s">
        <v>68</v>
      </c>
      <c r="Y5" s="8" t="s">
        <v>69</v>
      </c>
      <c r="Z5" s="16"/>
      <c r="AA5" s="66" t="str">
        <f>T5</f>
        <v>FY 2023/24</v>
      </c>
      <c r="AB5" s="16"/>
      <c r="AC5" s="8" t="s">
        <v>70</v>
      </c>
      <c r="AD5" s="8" t="s">
        <v>71</v>
      </c>
      <c r="AE5" s="8" t="s">
        <v>72</v>
      </c>
      <c r="AF5" s="8" t="s">
        <v>73</v>
      </c>
      <c r="AG5" s="16"/>
      <c r="AH5" s="16"/>
      <c r="AI5" s="16"/>
    </row>
    <row r="6" spans="1:35" x14ac:dyDescent="0.35">
      <c r="A6" s="6"/>
      <c r="B6" s="6"/>
      <c r="C6" s="6"/>
      <c r="D6" s="6"/>
      <c r="E6" s="6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6"/>
      <c r="T6" s="10"/>
      <c r="U6" s="16"/>
      <c r="V6" s="16"/>
      <c r="W6" s="16"/>
      <c r="X6" s="16"/>
      <c r="Y6" s="16"/>
      <c r="Z6" s="16"/>
      <c r="AA6" s="10"/>
      <c r="AB6" s="16"/>
      <c r="AC6" s="16"/>
      <c r="AD6" s="16"/>
      <c r="AE6" s="16"/>
      <c r="AF6" s="16"/>
      <c r="AG6" s="16"/>
      <c r="AH6" s="16"/>
      <c r="AI6" s="16"/>
    </row>
    <row r="7" spans="1:35" x14ac:dyDescent="0.35">
      <c r="A7" s="11" t="s">
        <v>12</v>
      </c>
      <c r="B7" s="12"/>
      <c r="C7" s="12"/>
      <c r="D7" s="12"/>
      <c r="E7" s="12"/>
      <c r="F7" s="12"/>
      <c r="G7" s="28">
        <f>SUM(G8:G12)</f>
        <v>113431.03551272764</v>
      </c>
      <c r="H7" s="28">
        <f t="shared" ref="H7:R7" si="0">SUM(H8:H12)</f>
        <v>79051.856868336079</v>
      </c>
      <c r="I7" s="28">
        <f t="shared" si="0"/>
        <v>101006.30378888181</v>
      </c>
      <c r="J7" s="28">
        <f t="shared" si="0"/>
        <v>89125.49259507122</v>
      </c>
      <c r="K7" s="28">
        <f t="shared" si="0"/>
        <v>77261.479160817675</v>
      </c>
      <c r="L7" s="28">
        <f t="shared" si="0"/>
        <v>97111.179405143776</v>
      </c>
      <c r="M7" s="28">
        <f t="shared" si="0"/>
        <v>70119.988383268384</v>
      </c>
      <c r="N7" s="28">
        <f t="shared" si="0"/>
        <v>76715.015706741236</v>
      </c>
      <c r="O7" s="28">
        <f t="shared" si="0"/>
        <v>99188.137986432237</v>
      </c>
      <c r="P7" s="28">
        <f t="shared" si="0"/>
        <v>81853.355274716581</v>
      </c>
      <c r="Q7" s="28">
        <f t="shared" si="0"/>
        <v>72605.488597204589</v>
      </c>
      <c r="R7" s="28">
        <f t="shared" si="0"/>
        <v>126062.97742575561</v>
      </c>
      <c r="S7" s="17"/>
      <c r="T7" s="28">
        <f>SUM(T8:T12)</f>
        <v>1083532.3107050967</v>
      </c>
      <c r="U7" s="16"/>
      <c r="V7" s="28">
        <f t="shared" ref="V7:Y7" si="1">SUM(V8:V12)</f>
        <v>293489.19616994553</v>
      </c>
      <c r="W7" s="28">
        <f t="shared" si="1"/>
        <v>263498.15116103267</v>
      </c>
      <c r="X7" s="28">
        <f t="shared" si="1"/>
        <v>246023.14207644184</v>
      </c>
      <c r="Y7" s="28">
        <f t="shared" si="1"/>
        <v>280521.82129767683</v>
      </c>
      <c r="Z7" s="16"/>
      <c r="AA7" s="28">
        <f>SUM(AA8:AA12)</f>
        <v>1083532.3107050969</v>
      </c>
      <c r="AB7" s="16"/>
      <c r="AC7" s="28">
        <f t="shared" ref="AC7:AF7" si="2">SUM(AC8:AC12)</f>
        <v>293489.19616994553</v>
      </c>
      <c r="AD7" s="28">
        <f t="shared" si="2"/>
        <v>556987.34733097826</v>
      </c>
      <c r="AE7" s="28">
        <f t="shared" si="2"/>
        <v>803010.48940742016</v>
      </c>
      <c r="AF7" s="28">
        <f t="shared" si="2"/>
        <v>1083532.3107050969</v>
      </c>
      <c r="AG7" s="16"/>
      <c r="AH7" s="16"/>
    </row>
    <row r="8" spans="1:35" x14ac:dyDescent="0.35">
      <c r="A8" s="12"/>
      <c r="B8" s="12" t="s">
        <v>13</v>
      </c>
      <c r="C8" s="12"/>
      <c r="D8" s="12"/>
      <c r="E8" s="12"/>
      <c r="F8" s="12"/>
      <c r="G8" s="13">
        <f>'Revenue Details'!G10</f>
        <v>109930.50660329527</v>
      </c>
      <c r="H8" s="13">
        <f>'Revenue Details'!H10</f>
        <v>75815.074031139433</v>
      </c>
      <c r="I8" s="13">
        <f>'Revenue Details'!I10</f>
        <v>86942.862672638119</v>
      </c>
      <c r="J8" s="13">
        <f>'Revenue Details'!J10</f>
        <v>77730.614508896717</v>
      </c>
      <c r="K8" s="13">
        <f>'Revenue Details'!K10</f>
        <v>72765.34368814333</v>
      </c>
      <c r="L8" s="13">
        <f>'Revenue Details'!L10</f>
        <v>90444.022676228575</v>
      </c>
      <c r="M8" s="13">
        <f>'Revenue Details'!M10</f>
        <v>66167.072666787513</v>
      </c>
      <c r="N8" s="13">
        <f>'Revenue Details'!N10</f>
        <v>72029.065360940906</v>
      </c>
      <c r="O8" s="13">
        <f>'Revenue Details'!O10</f>
        <v>91012.59595691548</v>
      </c>
      <c r="P8" s="13">
        <f>'Revenue Details'!P10</f>
        <v>75790.320702966914</v>
      </c>
      <c r="Q8" s="13">
        <f>'Revenue Details'!Q10</f>
        <v>66744.356629415532</v>
      </c>
      <c r="R8" s="13">
        <f>'Revenue Details'!R10</f>
        <v>93996.475207727883</v>
      </c>
      <c r="S8" s="17"/>
      <c r="T8" s="10">
        <f>SUM(G8:Q8)+R8</f>
        <v>979368.31070509565</v>
      </c>
      <c r="U8" s="16"/>
      <c r="V8" s="17">
        <f>SUM(G8:I8)</f>
        <v>272688.44330707286</v>
      </c>
      <c r="W8" s="17">
        <f>SUM(J8:L8)</f>
        <v>240939.98087326862</v>
      </c>
      <c r="X8" s="17">
        <f>SUM(M8:O8)</f>
        <v>229208.73398464388</v>
      </c>
      <c r="Y8" s="17">
        <f>SUM(P8:R8)</f>
        <v>236531.15254011034</v>
      </c>
      <c r="Z8" s="16"/>
      <c r="AA8" s="10">
        <f>SUM(V8:Y8)</f>
        <v>979368.31070509576</v>
      </c>
      <c r="AB8" s="16"/>
      <c r="AC8" s="17">
        <f>V8</f>
        <v>272688.44330707286</v>
      </c>
      <c r="AD8" s="17">
        <f t="shared" ref="AD8:AF12" si="3">AC8+W8</f>
        <v>513628.42418034148</v>
      </c>
      <c r="AE8" s="17">
        <f t="shared" si="3"/>
        <v>742837.15816498536</v>
      </c>
      <c r="AF8" s="17">
        <f t="shared" si="3"/>
        <v>979368.31070509576</v>
      </c>
      <c r="AG8" s="16"/>
      <c r="AH8" s="16"/>
    </row>
    <row r="9" spans="1:35" x14ac:dyDescent="0.35">
      <c r="A9" s="12"/>
      <c r="B9" s="12" t="s">
        <v>14</v>
      </c>
      <c r="C9" s="12"/>
      <c r="D9" s="12"/>
      <c r="E9" s="12"/>
      <c r="F9" s="12"/>
      <c r="G9" s="13">
        <f>'Revenue Details'!G43</f>
        <v>3104.2082268734598</v>
      </c>
      <c r="H9" s="13">
        <f>'Revenue Details'!H43</f>
        <v>3236.7828371966393</v>
      </c>
      <c r="I9" s="13">
        <f>'Revenue Details'!I43</f>
        <v>13927.20682022714</v>
      </c>
      <c r="J9" s="13">
        <f>'Revenue Details'!J43</f>
        <v>11152.392277283599</v>
      </c>
      <c r="K9" s="13">
        <f>'Revenue Details'!K43</f>
        <v>4144.8182578761753</v>
      </c>
      <c r="L9" s="13">
        <f>'Revenue Details'!L43</f>
        <v>6667.1567289151999</v>
      </c>
      <c r="M9" s="13">
        <f>'Revenue Details'!M43</f>
        <v>3835.3232216651641</v>
      </c>
      <c r="N9" s="13">
        <f>'Revenue Details'!N43</f>
        <v>4519.6524498459294</v>
      </c>
      <c r="O9" s="13">
        <f>'Revenue Details'!O43</f>
        <v>6864.8647204733998</v>
      </c>
      <c r="P9" s="13">
        <f>'Revenue Details'!P43</f>
        <v>5885.6709424070104</v>
      </c>
      <c r="Q9" s="13">
        <f>'Revenue Details'!Q43</f>
        <v>5621.31468085098</v>
      </c>
      <c r="R9" s="13">
        <f>'Revenue Details'!R43</f>
        <v>28378.608836386444</v>
      </c>
      <c r="S9" s="17"/>
      <c r="T9" s="10">
        <f>SUM(G9:Q9)+R9</f>
        <v>97338.00000000115</v>
      </c>
      <c r="U9" s="16"/>
      <c r="V9" s="17">
        <f>SUM(G9:I9)</f>
        <v>20268.197884297238</v>
      </c>
      <c r="W9" s="17">
        <f>SUM(J9:L9)</f>
        <v>21964.367264074976</v>
      </c>
      <c r="X9" s="17">
        <f>SUM(M9:O9)</f>
        <v>15219.840391984493</v>
      </c>
      <c r="Y9" s="17">
        <f>SUM(P9:R9)</f>
        <v>39885.594459644431</v>
      </c>
      <c r="Z9" s="16"/>
      <c r="AA9" s="10">
        <f>SUM(V9:Y9)</f>
        <v>97338.000000001135</v>
      </c>
      <c r="AB9" s="16"/>
      <c r="AC9" s="17">
        <f t="shared" ref="AC9:AC12" si="4">V9</f>
        <v>20268.197884297238</v>
      </c>
      <c r="AD9" s="17">
        <f t="shared" si="3"/>
        <v>42232.565148372218</v>
      </c>
      <c r="AE9" s="17">
        <f t="shared" si="3"/>
        <v>57452.405540356711</v>
      </c>
      <c r="AF9" s="17">
        <f t="shared" si="3"/>
        <v>97338.000000001135</v>
      </c>
      <c r="AG9" s="16"/>
      <c r="AH9" s="16"/>
    </row>
    <row r="10" spans="1:35" x14ac:dyDescent="0.35">
      <c r="A10" s="14"/>
      <c r="B10" s="14" t="s">
        <v>15</v>
      </c>
      <c r="C10" s="14"/>
      <c r="D10" s="12"/>
      <c r="E10" s="12"/>
      <c r="F10" s="12"/>
      <c r="G10" s="13">
        <f>'Revenue Details'!G45</f>
        <v>0</v>
      </c>
      <c r="H10" s="13">
        <f>'Revenue Details'!H45</f>
        <v>0</v>
      </c>
      <c r="I10" s="13">
        <f>'Revenue Details'!I45</f>
        <v>0</v>
      </c>
      <c r="J10" s="13">
        <f>'Revenue Details'!J45</f>
        <v>0</v>
      </c>
      <c r="K10" s="13">
        <f>'Revenue Details'!K45</f>
        <v>0</v>
      </c>
      <c r="L10" s="13">
        <f>'Revenue Details'!L45</f>
        <v>0</v>
      </c>
      <c r="M10" s="13">
        <f>'Revenue Details'!M45</f>
        <v>0</v>
      </c>
      <c r="N10" s="13">
        <f>'Revenue Details'!N45</f>
        <v>0</v>
      </c>
      <c r="O10" s="13">
        <f>'Revenue Details'!O45</f>
        <v>152.3854118213942</v>
      </c>
      <c r="P10" s="13">
        <f>'Revenue Details'!P45</f>
        <v>150.12410293757881</v>
      </c>
      <c r="Q10" s="13">
        <f>'Revenue Details'!Q45</f>
        <v>0</v>
      </c>
      <c r="R10" s="13">
        <f>'Revenue Details'!R45</f>
        <v>1189.0904852410267</v>
      </c>
      <c r="S10" s="17"/>
      <c r="T10" s="10">
        <f>SUM(G10:Q10)+R10</f>
        <v>1491.5999999999997</v>
      </c>
      <c r="U10" s="16"/>
      <c r="V10" s="17">
        <f>SUM(G10:I10)</f>
        <v>0</v>
      </c>
      <c r="W10" s="17">
        <f>SUM(J10:L10)</f>
        <v>0</v>
      </c>
      <c r="X10" s="17">
        <f>SUM(M10:O10)</f>
        <v>152.3854118213942</v>
      </c>
      <c r="Y10" s="17">
        <f>SUM(P10:R10)</f>
        <v>1339.2145881786055</v>
      </c>
      <c r="Z10" s="16"/>
      <c r="AA10" s="10">
        <f t="shared" ref="AA10:AA12" si="5">SUM(V10:Y10)</f>
        <v>1491.5999999999997</v>
      </c>
      <c r="AB10" s="16"/>
      <c r="AC10" s="17">
        <f t="shared" si="4"/>
        <v>0</v>
      </c>
      <c r="AD10" s="17">
        <f t="shared" si="3"/>
        <v>0</v>
      </c>
      <c r="AE10" s="17">
        <f t="shared" si="3"/>
        <v>152.3854118213942</v>
      </c>
      <c r="AF10" s="17">
        <f t="shared" si="3"/>
        <v>1491.5999999999997</v>
      </c>
      <c r="AG10" s="16"/>
      <c r="AH10" s="16"/>
    </row>
    <row r="11" spans="1:35" x14ac:dyDescent="0.35">
      <c r="A11" s="12"/>
      <c r="B11" s="12" t="s">
        <v>16</v>
      </c>
      <c r="C11" s="12"/>
      <c r="D11" s="12"/>
      <c r="E11" s="12"/>
      <c r="F11" s="12"/>
      <c r="G11" s="13">
        <f>'Revenue Details'!G47</f>
        <v>0</v>
      </c>
      <c r="H11" s="13">
        <f>'Revenue Details'!H47</f>
        <v>0</v>
      </c>
      <c r="I11" s="13">
        <f>'Revenue Details'!I47</f>
        <v>0</v>
      </c>
      <c r="J11" s="13">
        <f>'Revenue Details'!J47</f>
        <v>0</v>
      </c>
      <c r="K11" s="13">
        <f>'Revenue Details'!K47</f>
        <v>0</v>
      </c>
      <c r="L11" s="13">
        <f>'Revenue Details'!L47</f>
        <v>0</v>
      </c>
      <c r="M11" s="13">
        <f>'Revenue Details'!M47</f>
        <v>0</v>
      </c>
      <c r="N11" s="13">
        <f>'Revenue Details'!N47</f>
        <v>0</v>
      </c>
      <c r="O11" s="13">
        <f>'Revenue Details'!O47</f>
        <v>0</v>
      </c>
      <c r="P11" s="13">
        <f>'Revenue Details'!P47</f>
        <v>0</v>
      </c>
      <c r="Q11" s="13">
        <f>'Revenue Details'!Q47</f>
        <v>0</v>
      </c>
      <c r="R11" s="13">
        <f>'Revenue Details'!R47</f>
        <v>0</v>
      </c>
      <c r="S11" s="17"/>
      <c r="T11" s="10">
        <f>SUM(G11:Q11)+R11</f>
        <v>0</v>
      </c>
      <c r="U11" s="16"/>
      <c r="V11" s="17">
        <f>SUM(G11:I11)</f>
        <v>0</v>
      </c>
      <c r="W11" s="17">
        <f>SUM(J11:L11)</f>
        <v>0</v>
      </c>
      <c r="X11" s="17">
        <f>SUM(M11:O11)</f>
        <v>0</v>
      </c>
      <c r="Y11" s="17">
        <f>SUM(P11:R11)</f>
        <v>0</v>
      </c>
      <c r="Z11" s="16"/>
      <c r="AA11" s="10">
        <f t="shared" si="5"/>
        <v>0</v>
      </c>
      <c r="AB11" s="16"/>
      <c r="AC11" s="17">
        <f t="shared" si="4"/>
        <v>0</v>
      </c>
      <c r="AD11" s="17">
        <f t="shared" si="3"/>
        <v>0</v>
      </c>
      <c r="AE11" s="17">
        <f t="shared" si="3"/>
        <v>0</v>
      </c>
      <c r="AF11" s="17">
        <f t="shared" si="3"/>
        <v>0</v>
      </c>
      <c r="AG11" s="16"/>
      <c r="AH11" s="16"/>
    </row>
    <row r="12" spans="1:35" x14ac:dyDescent="0.35">
      <c r="A12" s="14"/>
      <c r="B12" s="14" t="s">
        <v>17</v>
      </c>
      <c r="C12" s="14"/>
      <c r="D12" s="12"/>
      <c r="E12" s="12"/>
      <c r="F12" s="12"/>
      <c r="G12" s="13">
        <f>'Revenue Details'!G49</f>
        <v>396.32068255889857</v>
      </c>
      <c r="H12" s="13">
        <f>'Revenue Details'!H49</f>
        <v>0</v>
      </c>
      <c r="I12" s="13">
        <f>'Revenue Details'!I49</f>
        <v>136.23429601653575</v>
      </c>
      <c r="J12" s="13">
        <f>'Revenue Details'!J49</f>
        <v>242.48580889091585</v>
      </c>
      <c r="K12" s="13">
        <f>'Revenue Details'!K49</f>
        <v>351.31721479816446</v>
      </c>
      <c r="L12" s="13">
        <f>'Revenue Details'!L49</f>
        <v>0</v>
      </c>
      <c r="M12" s="13">
        <f>'Revenue Details'!M49</f>
        <v>117.59249481570212</v>
      </c>
      <c r="N12" s="13">
        <f>'Revenue Details'!N49</f>
        <v>166.29789595439888</v>
      </c>
      <c r="O12" s="13">
        <f>'Revenue Details'!O49</f>
        <v>1158.2918972219629</v>
      </c>
      <c r="P12" s="13">
        <f>'Revenue Details'!P49</f>
        <v>27.239526405077203</v>
      </c>
      <c r="Q12" s="13">
        <f>'Revenue Details'!Q49</f>
        <v>239.81728693808114</v>
      </c>
      <c r="R12" s="13">
        <f>'Revenue Details'!R49</f>
        <v>2498.8028964002624</v>
      </c>
      <c r="S12" s="17"/>
      <c r="T12" s="10">
        <f>SUM(G12:Q12)+R12</f>
        <v>5334.4</v>
      </c>
      <c r="U12" s="16"/>
      <c r="V12" s="17">
        <f>SUM(G12:I12)</f>
        <v>532.55497857543435</v>
      </c>
      <c r="W12" s="17">
        <f>SUM(J12:L12)</f>
        <v>593.80302368908031</v>
      </c>
      <c r="X12" s="17">
        <f>SUM(M12:O12)</f>
        <v>1442.1822879920639</v>
      </c>
      <c r="Y12" s="17">
        <f>SUM(P12:R12)</f>
        <v>2765.8597097434208</v>
      </c>
      <c r="Z12" s="16"/>
      <c r="AA12" s="10">
        <f t="shared" si="5"/>
        <v>5334.4</v>
      </c>
      <c r="AB12" s="16"/>
      <c r="AC12" s="17">
        <f t="shared" si="4"/>
        <v>532.55497857543435</v>
      </c>
      <c r="AD12" s="17">
        <f t="shared" si="3"/>
        <v>1126.3580022645147</v>
      </c>
      <c r="AE12" s="17">
        <f t="shared" si="3"/>
        <v>2568.5402902565784</v>
      </c>
      <c r="AF12" s="17">
        <f t="shared" si="3"/>
        <v>5334.4</v>
      </c>
      <c r="AG12" s="16"/>
      <c r="AH12" s="16"/>
    </row>
    <row r="13" spans="1:35" x14ac:dyDescent="0.35">
      <c r="A13" s="14"/>
      <c r="B13" s="12"/>
      <c r="C13" s="12"/>
      <c r="D13" s="12"/>
      <c r="E13" s="12"/>
      <c r="F13" s="12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7"/>
      <c r="T13" s="30"/>
      <c r="U13" s="16"/>
      <c r="V13" s="16"/>
      <c r="W13" s="16"/>
      <c r="X13" s="16"/>
      <c r="Y13" s="16"/>
      <c r="Z13" s="16"/>
      <c r="AA13" s="10"/>
      <c r="AB13" s="16"/>
      <c r="AC13" s="16"/>
      <c r="AD13" s="16"/>
      <c r="AE13" s="16"/>
      <c r="AF13" s="16"/>
      <c r="AG13" s="16"/>
      <c r="AH13" s="16"/>
    </row>
    <row r="14" spans="1:35" x14ac:dyDescent="0.35">
      <c r="A14" s="11" t="s">
        <v>18</v>
      </c>
      <c r="B14" s="12"/>
      <c r="C14" s="12"/>
      <c r="D14" s="12"/>
      <c r="E14" s="12"/>
      <c r="F14" s="12"/>
      <c r="G14" s="67">
        <f t="shared" ref="G14:R14" si="6">+G15+G24</f>
        <v>82519.316966513783</v>
      </c>
      <c r="H14" s="67">
        <f t="shared" si="6"/>
        <v>69900.700020908858</v>
      </c>
      <c r="I14" s="67">
        <f t="shared" si="6"/>
        <v>69376.97103860919</v>
      </c>
      <c r="J14" s="67">
        <f t="shared" si="6"/>
        <v>78660.107951280414</v>
      </c>
      <c r="K14" s="67">
        <f t="shared" si="6"/>
        <v>78128.43136497309</v>
      </c>
      <c r="L14" s="67">
        <f t="shared" si="6"/>
        <v>76957.886734194763</v>
      </c>
      <c r="M14" s="67">
        <f t="shared" si="6"/>
        <v>72950.852032974552</v>
      </c>
      <c r="N14" s="67">
        <f t="shared" si="6"/>
        <v>68212.13391995804</v>
      </c>
      <c r="O14" s="67">
        <f t="shared" si="6"/>
        <v>67990.83036371044</v>
      </c>
      <c r="P14" s="67">
        <f t="shared" si="6"/>
        <v>78748.164927221718</v>
      </c>
      <c r="Q14" s="67">
        <f t="shared" si="6"/>
        <v>69577.816802392234</v>
      </c>
      <c r="R14" s="67">
        <f t="shared" si="6"/>
        <v>74660.403298922523</v>
      </c>
      <c r="S14" s="17"/>
      <c r="T14" s="28">
        <f>+T15+T24</f>
        <v>887683.61542165955</v>
      </c>
      <c r="U14" s="16"/>
      <c r="V14" s="28">
        <f>+V15+V24</f>
        <v>221796.98802603182</v>
      </c>
      <c r="W14" s="28">
        <f>+W15+W24</f>
        <v>233746.42605044827</v>
      </c>
      <c r="X14" s="28">
        <f>+X15+X24</f>
        <v>209153.81631664309</v>
      </c>
      <c r="Y14" s="28">
        <f>+Y15+Y24</f>
        <v>222986.38502853646</v>
      </c>
      <c r="Z14" s="16"/>
      <c r="AA14" s="28">
        <f>+AA15+AA24</f>
        <v>887683.61542165966</v>
      </c>
      <c r="AB14" s="16"/>
      <c r="AC14" s="28">
        <f t="shared" ref="AC14:AF14" si="7">+AC15+AC24</f>
        <v>221796.98802603182</v>
      </c>
      <c r="AD14" s="28">
        <f t="shared" si="7"/>
        <v>455543.41407648008</v>
      </c>
      <c r="AE14" s="28">
        <f t="shared" si="7"/>
        <v>664697.23039312311</v>
      </c>
      <c r="AF14" s="28">
        <f t="shared" si="7"/>
        <v>887683.61542165966</v>
      </c>
      <c r="AG14" s="16"/>
      <c r="AH14" s="16"/>
    </row>
    <row r="15" spans="1:35" x14ac:dyDescent="0.35">
      <c r="A15" s="11"/>
      <c r="B15" s="11" t="s">
        <v>19</v>
      </c>
      <c r="C15" s="12"/>
      <c r="D15" s="12"/>
      <c r="E15" s="12"/>
      <c r="F15" s="12"/>
      <c r="G15" s="67">
        <f t="shared" ref="G15:R15" si="8">+G16+G17+G20</f>
        <v>75469.063966513786</v>
      </c>
      <c r="H15" s="67">
        <f t="shared" si="8"/>
        <v>64872.063020908856</v>
      </c>
      <c r="I15" s="67">
        <f t="shared" si="8"/>
        <v>63232.148838609188</v>
      </c>
      <c r="J15" s="67">
        <f t="shared" si="8"/>
        <v>72984.4479091057</v>
      </c>
      <c r="K15" s="67">
        <f t="shared" si="8"/>
        <v>72727.001252123708</v>
      </c>
      <c r="L15" s="67">
        <f t="shared" si="8"/>
        <v>71233.078582935821</v>
      </c>
      <c r="M15" s="67">
        <f t="shared" si="8"/>
        <v>67302.61164650369</v>
      </c>
      <c r="N15" s="67">
        <f t="shared" si="8"/>
        <v>61918.112849936064</v>
      </c>
      <c r="O15" s="67">
        <f t="shared" si="8"/>
        <v>61657.566402532218</v>
      </c>
      <c r="P15" s="67">
        <f t="shared" si="8"/>
        <v>72366.687580282785</v>
      </c>
      <c r="Q15" s="67">
        <f t="shared" si="8"/>
        <v>64446.384684864359</v>
      </c>
      <c r="R15" s="67">
        <f t="shared" si="8"/>
        <v>64101.558687343422</v>
      </c>
      <c r="S15" s="17"/>
      <c r="T15" s="28">
        <f>+T16+T17+T20</f>
        <v>812310.72542165953</v>
      </c>
      <c r="U15" s="16"/>
      <c r="V15" s="28">
        <f>+V16+V17+V20</f>
        <v>203573.27582603181</v>
      </c>
      <c r="W15" s="28">
        <f t="shared" ref="W15:Y15" si="9">+W16+W17+W20</f>
        <v>216944.52774416524</v>
      </c>
      <c r="X15" s="28">
        <f t="shared" si="9"/>
        <v>190878.29089897202</v>
      </c>
      <c r="Y15" s="28">
        <f t="shared" si="9"/>
        <v>200914.63095249055</v>
      </c>
      <c r="Z15" s="16"/>
      <c r="AA15" s="28">
        <f>+AA16+AA17+AA20</f>
        <v>812310.72542165965</v>
      </c>
      <c r="AB15" s="16"/>
      <c r="AC15" s="28">
        <f t="shared" ref="AC15:AF15" si="10">+AC16+AC17+AC20</f>
        <v>203573.27582603181</v>
      </c>
      <c r="AD15" s="28">
        <f t="shared" si="10"/>
        <v>420517.80357019708</v>
      </c>
      <c r="AE15" s="28">
        <f t="shared" si="10"/>
        <v>611396.09446916904</v>
      </c>
      <c r="AF15" s="28">
        <f t="shared" si="10"/>
        <v>812310.72542165965</v>
      </c>
      <c r="AG15" s="16"/>
      <c r="AH15" s="16"/>
    </row>
    <row r="16" spans="1:35" x14ac:dyDescent="0.35">
      <c r="A16" s="12"/>
      <c r="B16" s="12"/>
      <c r="C16" s="12" t="s">
        <v>20</v>
      </c>
      <c r="D16" s="12"/>
      <c r="E16" s="12"/>
      <c r="F16" s="12"/>
      <c r="G16" s="10">
        <v>24356.478999999999</v>
      </c>
      <c r="H16" s="10">
        <v>24400.364090909094</v>
      </c>
      <c r="I16" s="10">
        <v>23347.318090909092</v>
      </c>
      <c r="J16" s="10">
        <v>25861.994090909091</v>
      </c>
      <c r="K16" s="10">
        <v>27232.532090909091</v>
      </c>
      <c r="L16" s="41">
        <v>29084.815090909091</v>
      </c>
      <c r="M16" s="41">
        <v>23746.103090909091</v>
      </c>
      <c r="N16" s="69">
        <v>21881.252090909093</v>
      </c>
      <c r="O16" s="69">
        <v>22375.935090909094</v>
      </c>
      <c r="P16" s="69">
        <v>26422.073090909093</v>
      </c>
      <c r="Q16" s="69">
        <v>19223.609090909093</v>
      </c>
      <c r="R16" s="69">
        <v>21873.930090909093</v>
      </c>
      <c r="S16" s="17"/>
      <c r="T16" s="10">
        <f t="shared" ref="T16:T22" si="11">SUM(G16:Q16)+R16</f>
        <v>289806.40499999997</v>
      </c>
      <c r="U16" s="16"/>
      <c r="V16" s="17">
        <f>SUM(G16:I16)</f>
        <v>72104.161181818185</v>
      </c>
      <c r="W16" s="17">
        <f>SUM(J16:L16)</f>
        <v>82179.341272727266</v>
      </c>
      <c r="X16" s="17">
        <f>SUM(M16:O16)</f>
        <v>68003.290272727289</v>
      </c>
      <c r="Y16" s="17">
        <f>SUM(P16:R16)</f>
        <v>67519.612272727274</v>
      </c>
      <c r="Z16" s="16"/>
      <c r="AA16" s="10">
        <f>SUM(V16:Y16)</f>
        <v>289806.40500000003</v>
      </c>
      <c r="AB16" s="16"/>
      <c r="AC16" s="17">
        <f>V16</f>
        <v>72104.161181818185</v>
      </c>
      <c r="AD16" s="17">
        <f>AC16+W16</f>
        <v>154283.50245454547</v>
      </c>
      <c r="AE16" s="17">
        <f>AD16+X16</f>
        <v>222286.79272727275</v>
      </c>
      <c r="AF16" s="17">
        <f>AE16+Y16</f>
        <v>289806.40500000003</v>
      </c>
      <c r="AG16" s="16"/>
      <c r="AH16" s="16"/>
    </row>
    <row r="17" spans="1:34" x14ac:dyDescent="0.35">
      <c r="A17" s="12"/>
      <c r="B17" s="12"/>
      <c r="C17" s="12" t="s">
        <v>21</v>
      </c>
      <c r="D17" s="12"/>
      <c r="E17" s="12"/>
      <c r="F17" s="12"/>
      <c r="G17" s="13">
        <f t="shared" ref="G17:R17" si="12">G18+G19</f>
        <v>37400</v>
      </c>
      <c r="H17" s="13">
        <f t="shared" si="12"/>
        <v>30264.977999999999</v>
      </c>
      <c r="I17" s="13">
        <f t="shared" si="12"/>
        <v>30372.794000000002</v>
      </c>
      <c r="J17" s="13">
        <f t="shared" si="12"/>
        <v>30038.51</v>
      </c>
      <c r="K17" s="13">
        <f t="shared" si="12"/>
        <v>30087.553</v>
      </c>
      <c r="L17" s="13">
        <f t="shared" si="12"/>
        <v>30024.226999999999</v>
      </c>
      <c r="M17" s="13">
        <f t="shared" si="12"/>
        <v>29940.032999999999</v>
      </c>
      <c r="N17" s="70">
        <f t="shared" si="12"/>
        <v>29855.308000000001</v>
      </c>
      <c r="O17" s="70">
        <f t="shared" si="12"/>
        <v>29888.948</v>
      </c>
      <c r="P17" s="70">
        <f>P18+P19</f>
        <v>29731.831999999999</v>
      </c>
      <c r="Q17" s="70">
        <f t="shared" si="12"/>
        <v>29871.312999999998</v>
      </c>
      <c r="R17" s="70">
        <f t="shared" si="12"/>
        <v>29871.304</v>
      </c>
      <c r="S17" s="17"/>
      <c r="T17" s="10">
        <f>SUM(G17:Q17)+R17</f>
        <v>367346.8</v>
      </c>
      <c r="U17" s="16"/>
      <c r="V17" s="13">
        <f t="shared" ref="V17:Y17" si="13">V18+V19</f>
        <v>98037.771999999997</v>
      </c>
      <c r="W17" s="13">
        <f t="shared" si="13"/>
        <v>90150.29</v>
      </c>
      <c r="X17" s="13">
        <f t="shared" si="13"/>
        <v>89684.289000000004</v>
      </c>
      <c r="Y17" s="13">
        <f t="shared" si="13"/>
        <v>89474.448999999993</v>
      </c>
      <c r="Z17" s="16"/>
      <c r="AA17" s="13">
        <f>AA18+AA19</f>
        <v>367346.8</v>
      </c>
      <c r="AB17" s="16"/>
      <c r="AC17" s="13">
        <f t="shared" ref="AC17:AD17" si="14">AC18+AC19</f>
        <v>98037.771999999997</v>
      </c>
      <c r="AD17" s="13">
        <f t="shared" si="14"/>
        <v>188188.06200000001</v>
      </c>
      <c r="AE17" s="13">
        <f>AE18+AE19</f>
        <v>277872.35100000002</v>
      </c>
      <c r="AF17" s="13">
        <f>AF18+AF19</f>
        <v>367346.8</v>
      </c>
      <c r="AG17" s="16"/>
      <c r="AH17" s="16"/>
    </row>
    <row r="18" spans="1:34" x14ac:dyDescent="0.35">
      <c r="A18" s="12"/>
      <c r="B18" s="12"/>
      <c r="C18" s="12"/>
      <c r="D18" s="12" t="s">
        <v>22</v>
      </c>
      <c r="E18" s="12"/>
      <c r="F18" s="12"/>
      <c r="G18" s="10">
        <v>34040.4195616</v>
      </c>
      <c r="H18" s="10">
        <v>27944.887913278464</v>
      </c>
      <c r="I18" s="10">
        <v>28044.438821105261</v>
      </c>
      <c r="J18" s="10">
        <v>27735.780777104621</v>
      </c>
      <c r="K18" s="10">
        <v>27781.064178200468</v>
      </c>
      <c r="L18" s="10">
        <v>27722.592700970374</v>
      </c>
      <c r="M18" s="10">
        <v>27644.852948674154</v>
      </c>
      <c r="N18" s="17">
        <v>27566.622902432173</v>
      </c>
      <c r="O18" s="17">
        <v>27597.684085737928</v>
      </c>
      <c r="P18" s="17">
        <v>27452.612478238902</v>
      </c>
      <c r="Q18" s="17">
        <v>27581.400971362273</v>
      </c>
      <c r="R18" s="17">
        <v>27581.392661295398</v>
      </c>
      <c r="S18" s="17"/>
      <c r="T18" s="10">
        <f t="shared" si="11"/>
        <v>338693.75</v>
      </c>
      <c r="U18" s="16"/>
      <c r="V18" s="17">
        <f>SUM(G18:I18)</f>
        <v>90029.746295983728</v>
      </c>
      <c r="W18" s="17">
        <f>SUM(J18:L18)</f>
        <v>83239.437656275462</v>
      </c>
      <c r="X18" s="17">
        <f>SUM(M18:O18)</f>
        <v>82809.159936844255</v>
      </c>
      <c r="Y18" s="17">
        <f>SUM(P18:R18)</f>
        <v>82615.406110896569</v>
      </c>
      <c r="Z18" s="16"/>
      <c r="AA18" s="10">
        <f t="shared" ref="AA18:AA19" si="15">SUM(V18:Y18)</f>
        <v>338693.75</v>
      </c>
      <c r="AB18" s="16"/>
      <c r="AC18" s="17">
        <f>V18</f>
        <v>90029.746295983728</v>
      </c>
      <c r="AD18" s="17">
        <f t="shared" ref="AD18:AF19" si="16">AC18+W18</f>
        <v>173269.18395225919</v>
      </c>
      <c r="AE18" s="17">
        <f t="shared" si="16"/>
        <v>256078.34388910345</v>
      </c>
      <c r="AF18" s="17">
        <f>AE18+Y18</f>
        <v>338693.75</v>
      </c>
      <c r="AG18" s="16"/>
      <c r="AH18" s="16"/>
    </row>
    <row r="19" spans="1:34" x14ac:dyDescent="0.35">
      <c r="A19" s="12"/>
      <c r="B19" s="12"/>
      <c r="C19" s="12"/>
      <c r="D19" s="12" t="s">
        <v>23</v>
      </c>
      <c r="E19" s="12"/>
      <c r="F19" s="12"/>
      <c r="G19" s="10">
        <v>3359.5804384000003</v>
      </c>
      <c r="H19" s="10">
        <v>2320.090086721535</v>
      </c>
      <c r="I19" s="10">
        <v>2328.3551788947407</v>
      </c>
      <c r="J19" s="10">
        <v>2302.7292228953775</v>
      </c>
      <c r="K19" s="10">
        <v>2306.4888217995322</v>
      </c>
      <c r="L19" s="10">
        <v>2301.6342990296253</v>
      </c>
      <c r="M19" s="10">
        <v>2295.1800513258459</v>
      </c>
      <c r="N19" s="17">
        <v>2288.6850975678281</v>
      </c>
      <c r="O19" s="17">
        <v>2291.2639142620719</v>
      </c>
      <c r="P19" s="17">
        <v>2279.219521761097</v>
      </c>
      <c r="Q19" s="17">
        <v>2289.9120286377256</v>
      </c>
      <c r="R19" s="17">
        <v>2289.9113387046018</v>
      </c>
      <c r="S19" s="17"/>
      <c r="T19" s="10">
        <f t="shared" si="11"/>
        <v>28653.049999999981</v>
      </c>
      <c r="U19" s="16"/>
      <c r="V19" s="17">
        <f>SUM(G19:I19)</f>
        <v>8008.025704016276</v>
      </c>
      <c r="W19" s="17">
        <f>SUM(J19:L19)</f>
        <v>6910.8523437245349</v>
      </c>
      <c r="X19" s="17">
        <f>SUM(M19:O19)</f>
        <v>6875.1290631557458</v>
      </c>
      <c r="Y19" s="17">
        <f>SUM(P19:R19)</f>
        <v>6859.0428891034244</v>
      </c>
      <c r="Z19" s="16"/>
      <c r="AA19" s="10">
        <f t="shared" si="15"/>
        <v>28653.049999999981</v>
      </c>
      <c r="AB19" s="16"/>
      <c r="AC19" s="17">
        <f>V19</f>
        <v>8008.025704016276</v>
      </c>
      <c r="AD19" s="17">
        <f t="shared" si="16"/>
        <v>14918.878047740811</v>
      </c>
      <c r="AE19" s="17">
        <f t="shared" si="16"/>
        <v>21794.007110896557</v>
      </c>
      <c r="AF19" s="17">
        <f t="shared" si="16"/>
        <v>28653.049999999981</v>
      </c>
      <c r="AG19" s="16"/>
      <c r="AH19" s="16"/>
    </row>
    <row r="20" spans="1:34" x14ac:dyDescent="0.35">
      <c r="A20" s="12"/>
      <c r="B20" s="12"/>
      <c r="C20" s="12" t="s">
        <v>24</v>
      </c>
      <c r="D20" s="12"/>
      <c r="E20" s="12"/>
      <c r="F20" s="12"/>
      <c r="G20" s="13">
        <f>+G21+G22</f>
        <v>13712.584966513779</v>
      </c>
      <c r="H20" s="13">
        <f t="shared" ref="H20:R20" si="17">+H21+H22</f>
        <v>10206.720929999759</v>
      </c>
      <c r="I20" s="13">
        <f t="shared" si="17"/>
        <v>9512.0367477000909</v>
      </c>
      <c r="J20" s="13">
        <f t="shared" si="17"/>
        <v>17083.943818196611</v>
      </c>
      <c r="K20" s="13">
        <f t="shared" si="17"/>
        <v>15406.91616121462</v>
      </c>
      <c r="L20" s="13">
        <f t="shared" si="17"/>
        <v>12124.036492026729</v>
      </c>
      <c r="M20" s="13">
        <f t="shared" si="17"/>
        <v>13616.475555594599</v>
      </c>
      <c r="N20" s="70">
        <f t="shared" si="17"/>
        <v>10181.55275902697</v>
      </c>
      <c r="O20" s="70">
        <f t="shared" si="17"/>
        <v>9392.6833116231301</v>
      </c>
      <c r="P20" s="70">
        <f t="shared" si="17"/>
        <v>16212.7824893737</v>
      </c>
      <c r="Q20" s="70">
        <f t="shared" si="17"/>
        <v>15351.462593955261</v>
      </c>
      <c r="R20" s="70">
        <f t="shared" si="17"/>
        <v>12356.32459643433</v>
      </c>
      <c r="S20" s="17"/>
      <c r="T20" s="10">
        <f t="shared" si="11"/>
        <v>155157.52042165957</v>
      </c>
      <c r="U20" s="16"/>
      <c r="V20" s="10">
        <f t="shared" ref="V20:Y20" si="18">+V21+V22</f>
        <v>33431.342644213626</v>
      </c>
      <c r="W20" s="10">
        <f t="shared" si="18"/>
        <v>44614.896471437962</v>
      </c>
      <c r="X20" s="10">
        <f t="shared" si="18"/>
        <v>33190.711626244702</v>
      </c>
      <c r="Y20" s="10">
        <f t="shared" si="18"/>
        <v>43920.569679763285</v>
      </c>
      <c r="Z20" s="16"/>
      <c r="AA20" s="10">
        <f>+AA21+AA22</f>
        <v>155157.52042165957</v>
      </c>
      <c r="AB20" s="16"/>
      <c r="AC20" s="10">
        <f t="shared" ref="AC20:AF20" si="19">+AC21+AC22</f>
        <v>33431.342644213626</v>
      </c>
      <c r="AD20" s="10">
        <f t="shared" si="19"/>
        <v>78046.239115651581</v>
      </c>
      <c r="AE20" s="10">
        <f t="shared" si="19"/>
        <v>111236.95074189629</v>
      </c>
      <c r="AF20" s="10">
        <f t="shared" si="19"/>
        <v>155157.52042165957</v>
      </c>
      <c r="AG20" s="16"/>
      <c r="AH20" s="16"/>
    </row>
    <row r="21" spans="1:34" x14ac:dyDescent="0.35">
      <c r="A21" s="12"/>
      <c r="B21" s="12"/>
      <c r="C21" s="12"/>
      <c r="D21" s="12" t="s">
        <v>25</v>
      </c>
      <c r="E21" s="12"/>
      <c r="F21" s="12"/>
      <c r="G21" s="10">
        <v>4105.9332321388401</v>
      </c>
      <c r="H21" s="10">
        <v>5381.4476119843202</v>
      </c>
      <c r="I21" s="10">
        <v>7574.6564224510503</v>
      </c>
      <c r="J21" s="10">
        <v>1437.2619505213099</v>
      </c>
      <c r="K21" s="10">
        <v>11450.481205124001</v>
      </c>
      <c r="L21" s="10">
        <v>2876.6873280302498</v>
      </c>
      <c r="M21" s="10">
        <v>4039.42586232144</v>
      </c>
      <c r="N21" s="17">
        <v>5352.49979243501</v>
      </c>
      <c r="O21" s="17">
        <v>7548.7703587656897</v>
      </c>
      <c r="P21" s="17">
        <v>1435.1940280898</v>
      </c>
      <c r="Q21" s="17">
        <v>11467.7240857208</v>
      </c>
      <c r="R21" s="17">
        <v>2876.6873280302498</v>
      </c>
      <c r="S21" s="17"/>
      <c r="T21" s="10">
        <f t="shared" si="11"/>
        <v>65546.769205612756</v>
      </c>
      <c r="U21" s="16"/>
      <c r="V21" s="17">
        <f>SUM(G21:I21)</f>
        <v>17062.037266574211</v>
      </c>
      <c r="W21" s="17">
        <f>SUM(J21:L21)</f>
        <v>15764.43048367556</v>
      </c>
      <c r="X21" s="17">
        <f>SUM(M21:O21)</f>
        <v>16940.696013522142</v>
      </c>
      <c r="Y21" s="17">
        <f>SUM(P21:R21)</f>
        <v>15779.605441840849</v>
      </c>
      <c r="Z21" s="16"/>
      <c r="AA21" s="10">
        <f t="shared" ref="AA21:AA22" si="20">SUM(V21:Y21)</f>
        <v>65546.769205612756</v>
      </c>
      <c r="AB21" s="16"/>
      <c r="AC21" s="17">
        <f>V21</f>
        <v>17062.037266574211</v>
      </c>
      <c r="AD21" s="17">
        <f t="shared" ref="AD21:AF22" si="21">AC21+W21</f>
        <v>32826.467750249773</v>
      </c>
      <c r="AE21" s="17">
        <f t="shared" si="21"/>
        <v>49767.16376377191</v>
      </c>
      <c r="AF21" s="17">
        <f t="shared" si="21"/>
        <v>65546.769205612756</v>
      </c>
      <c r="AG21" s="16"/>
      <c r="AH21" s="16"/>
    </row>
    <row r="22" spans="1:34" x14ac:dyDescent="0.35">
      <c r="A22" s="12"/>
      <c r="B22" s="12"/>
      <c r="C22" s="12"/>
      <c r="D22" s="12" t="s">
        <v>26</v>
      </c>
      <c r="E22" s="12"/>
      <c r="F22" s="12"/>
      <c r="G22" s="10">
        <v>9606.6517343749401</v>
      </c>
      <c r="H22" s="10">
        <v>4825.2733180154401</v>
      </c>
      <c r="I22" s="10">
        <v>1937.38032524904</v>
      </c>
      <c r="J22" s="10">
        <v>15646.681867675299</v>
      </c>
      <c r="K22" s="10">
        <v>3956.4349560906198</v>
      </c>
      <c r="L22" s="10">
        <v>9247.3491639964795</v>
      </c>
      <c r="M22" s="10">
        <v>9577.0496932731603</v>
      </c>
      <c r="N22" s="17">
        <v>4829.0529665919603</v>
      </c>
      <c r="O22" s="17">
        <v>1843.9129528574399</v>
      </c>
      <c r="P22" s="17">
        <v>14777.5884612839</v>
      </c>
      <c r="Q22" s="17">
        <v>3883.7385082344599</v>
      </c>
      <c r="R22" s="17">
        <v>9479.6372684040798</v>
      </c>
      <c r="S22" s="17"/>
      <c r="T22" s="10">
        <f t="shared" si="11"/>
        <v>89610.751216046818</v>
      </c>
      <c r="U22" s="16"/>
      <c r="V22" s="17">
        <f>SUM(G22:I22)</f>
        <v>16369.305377639419</v>
      </c>
      <c r="W22" s="17">
        <f>SUM(J22:L22)</f>
        <v>28850.4659877624</v>
      </c>
      <c r="X22" s="17">
        <f>SUM(M22:O22)</f>
        <v>16250.01561272256</v>
      </c>
      <c r="Y22" s="17">
        <f>SUM(P22:R22)</f>
        <v>28140.964237922439</v>
      </c>
      <c r="Z22" s="16"/>
      <c r="AA22" s="10">
        <f t="shared" si="20"/>
        <v>89610.751216046818</v>
      </c>
      <c r="AB22" s="16"/>
      <c r="AC22" s="17">
        <f>V22</f>
        <v>16369.305377639419</v>
      </c>
      <c r="AD22" s="17">
        <f t="shared" si="21"/>
        <v>45219.771365401815</v>
      </c>
      <c r="AE22" s="17">
        <f t="shared" si="21"/>
        <v>61469.786978124379</v>
      </c>
      <c r="AF22" s="17">
        <f t="shared" si="21"/>
        <v>89610.751216046818</v>
      </c>
      <c r="AG22" s="16"/>
      <c r="AH22" s="16"/>
    </row>
    <row r="23" spans="1:34" x14ac:dyDescent="0.35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7"/>
      <c r="T23" s="10"/>
      <c r="U23" s="16"/>
      <c r="V23" s="16"/>
      <c r="W23" s="16"/>
      <c r="X23" s="16"/>
      <c r="Y23" s="16"/>
      <c r="Z23" s="16"/>
      <c r="AA23" s="10"/>
      <c r="AB23" s="16"/>
      <c r="AC23" s="17"/>
      <c r="AD23" s="17"/>
      <c r="AE23" s="17"/>
      <c r="AF23" s="17"/>
      <c r="AG23" s="16"/>
      <c r="AH23" s="16"/>
    </row>
    <row r="24" spans="1:34" x14ac:dyDescent="0.35">
      <c r="A24" s="11"/>
      <c r="B24" s="11" t="s">
        <v>27</v>
      </c>
      <c r="C24" s="11"/>
      <c r="D24" s="11"/>
      <c r="E24" s="11"/>
      <c r="F24" s="11"/>
      <c r="G24" s="67">
        <f t="shared" ref="G24:R24" si="22">+G25</f>
        <v>7050.2529999999997</v>
      </c>
      <c r="H24" s="67">
        <f t="shared" si="22"/>
        <v>5028.6369999999997</v>
      </c>
      <c r="I24" s="67">
        <f t="shared" si="22"/>
        <v>6144.8221999999996</v>
      </c>
      <c r="J24" s="67">
        <f t="shared" si="22"/>
        <v>5675.6600421747198</v>
      </c>
      <c r="K24" s="67">
        <f t="shared" si="22"/>
        <v>5401.4301128493798</v>
      </c>
      <c r="L24" s="67">
        <f t="shared" si="22"/>
        <v>5724.8081512589397</v>
      </c>
      <c r="M24" s="67">
        <f t="shared" si="22"/>
        <v>5648.2403864708604</v>
      </c>
      <c r="N24" s="67">
        <f t="shared" si="22"/>
        <v>6294.0210700219804</v>
      </c>
      <c r="O24" s="67">
        <f t="shared" si="22"/>
        <v>6333.2639611782197</v>
      </c>
      <c r="P24" s="67">
        <f t="shared" si="22"/>
        <v>6381.4773469389402</v>
      </c>
      <c r="Q24" s="67">
        <f t="shared" si="22"/>
        <v>5131.4321175278701</v>
      </c>
      <c r="R24" s="67">
        <f t="shared" si="22"/>
        <v>10558.844611579099</v>
      </c>
      <c r="S24" s="17"/>
      <c r="T24" s="28">
        <f>+T25</f>
        <v>75372.890000000014</v>
      </c>
      <c r="U24" s="16"/>
      <c r="V24" s="28">
        <f t="shared" ref="V24:Y24" si="23">+V25</f>
        <v>18223.712199999998</v>
      </c>
      <c r="W24" s="28">
        <f t="shared" si="23"/>
        <v>16801.898306283038</v>
      </c>
      <c r="X24" s="28">
        <f t="shared" si="23"/>
        <v>18275.525417671059</v>
      </c>
      <c r="Y24" s="28">
        <f t="shared" si="23"/>
        <v>22071.754076045909</v>
      </c>
      <c r="Z24" s="16"/>
      <c r="AA24" s="28">
        <f>+AA25</f>
        <v>75372.89</v>
      </c>
      <c r="AB24" s="16"/>
      <c r="AC24" s="28">
        <f t="shared" ref="AC24:AF24" si="24">+AC25</f>
        <v>18223.712199999998</v>
      </c>
      <c r="AD24" s="28">
        <f t="shared" si="24"/>
        <v>35025.610506283032</v>
      </c>
      <c r="AE24" s="28">
        <f t="shared" si="24"/>
        <v>53301.135923954091</v>
      </c>
      <c r="AF24" s="28">
        <f t="shared" si="24"/>
        <v>75372.89</v>
      </c>
      <c r="AG24" s="16"/>
      <c r="AH24" s="16"/>
    </row>
    <row r="25" spans="1:34" x14ac:dyDescent="0.35">
      <c r="A25" s="12"/>
      <c r="B25" s="12"/>
      <c r="C25" s="12" t="s">
        <v>28</v>
      </c>
      <c r="D25" s="12"/>
      <c r="E25" s="12"/>
      <c r="F25" s="12"/>
      <c r="G25" s="13">
        <v>7050.2529999999997</v>
      </c>
      <c r="H25" s="13">
        <v>5028.6369999999997</v>
      </c>
      <c r="I25" s="13">
        <v>6144.8221999999996</v>
      </c>
      <c r="J25" s="13">
        <v>5675.6600421747198</v>
      </c>
      <c r="K25" s="13">
        <v>5401.4301128493798</v>
      </c>
      <c r="L25" s="13">
        <v>5724.8081512589397</v>
      </c>
      <c r="M25" s="13">
        <v>5648.2403864708604</v>
      </c>
      <c r="N25" s="13">
        <v>6294.0210700219804</v>
      </c>
      <c r="O25" s="13">
        <v>6333.2639611782197</v>
      </c>
      <c r="P25" s="13">
        <v>6381.4773469389402</v>
      </c>
      <c r="Q25" s="13">
        <v>5131.4321175278701</v>
      </c>
      <c r="R25" s="13">
        <v>10558.844611579099</v>
      </c>
      <c r="S25" s="17"/>
      <c r="T25" s="10">
        <f>SUM(G25:Q25)+R25</f>
        <v>75372.890000000014</v>
      </c>
      <c r="U25" s="16"/>
      <c r="V25" s="17">
        <f>SUM(G25:I25)</f>
        <v>18223.712199999998</v>
      </c>
      <c r="W25" s="17">
        <f>SUM(J25:L25)</f>
        <v>16801.898306283038</v>
      </c>
      <c r="X25" s="17">
        <f>SUM(M25:O25)</f>
        <v>18275.525417671059</v>
      </c>
      <c r="Y25" s="17">
        <f>SUM(P25:R25)</f>
        <v>22071.754076045909</v>
      </c>
      <c r="Z25" s="16"/>
      <c r="AA25" s="10">
        <f>SUM(V25:Y25)</f>
        <v>75372.89</v>
      </c>
      <c r="AB25" s="16"/>
      <c r="AC25" s="17">
        <f>V25</f>
        <v>18223.712199999998</v>
      </c>
      <c r="AD25" s="17">
        <f>AC25+W25</f>
        <v>35025.610506283032</v>
      </c>
      <c r="AE25" s="17">
        <f>AD25+X25</f>
        <v>53301.135923954091</v>
      </c>
      <c r="AF25" s="17">
        <f>AE25+Y25</f>
        <v>75372.89</v>
      </c>
      <c r="AG25" s="16"/>
      <c r="AH25" s="16"/>
    </row>
    <row r="26" spans="1:34" x14ac:dyDescent="0.35">
      <c r="A26" s="12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7"/>
      <c r="T26" s="15"/>
      <c r="U26" s="16"/>
      <c r="V26" s="16"/>
      <c r="W26" s="16"/>
      <c r="X26" s="16"/>
      <c r="Y26" s="16"/>
      <c r="Z26" s="16"/>
      <c r="AA26" s="15"/>
      <c r="AB26" s="16"/>
      <c r="AC26" s="17"/>
      <c r="AD26" s="17"/>
      <c r="AE26" s="17"/>
      <c r="AF26" s="17"/>
      <c r="AG26" s="16"/>
      <c r="AH26" s="16"/>
    </row>
    <row r="27" spans="1:34" x14ac:dyDescent="0.35">
      <c r="A27" s="11" t="s">
        <v>29</v>
      </c>
      <c r="B27" s="12"/>
      <c r="C27" s="12"/>
      <c r="D27" s="12"/>
      <c r="E27" s="12"/>
      <c r="F27" s="12"/>
      <c r="G27" s="67">
        <f>+G7-G14</f>
        <v>30911.718546213859</v>
      </c>
      <c r="H27" s="67">
        <f t="shared" ref="H27:R27" si="25">+H7-H14</f>
        <v>9151.1568474272208</v>
      </c>
      <c r="I27" s="67">
        <f t="shared" si="25"/>
        <v>31629.332750272617</v>
      </c>
      <c r="J27" s="67">
        <f t="shared" si="25"/>
        <v>10465.384643790807</v>
      </c>
      <c r="K27" s="67">
        <f t="shared" si="25"/>
        <v>-866.95220415541553</v>
      </c>
      <c r="L27" s="67">
        <f t="shared" si="25"/>
        <v>20153.292670949013</v>
      </c>
      <c r="M27" s="67">
        <f>+M7-M14</f>
        <v>-2830.8636497061671</v>
      </c>
      <c r="N27" s="67">
        <f t="shared" si="25"/>
        <v>8502.8817867831967</v>
      </c>
      <c r="O27" s="67">
        <f t="shared" si="25"/>
        <v>31197.307622721797</v>
      </c>
      <c r="P27" s="67">
        <f t="shared" si="25"/>
        <v>3105.1903474948631</v>
      </c>
      <c r="Q27" s="67">
        <f t="shared" si="25"/>
        <v>3027.6717948123551</v>
      </c>
      <c r="R27" s="67">
        <f t="shared" si="25"/>
        <v>51402.574126833089</v>
      </c>
      <c r="S27" s="17"/>
      <c r="T27" s="28">
        <f>+T7-T14</f>
        <v>195848.69528343715</v>
      </c>
      <c r="U27" s="16"/>
      <c r="V27" s="28">
        <f t="shared" ref="V27:AF27" si="26">+V7-V14</f>
        <v>71692.208143913711</v>
      </c>
      <c r="W27" s="28">
        <f t="shared" si="26"/>
        <v>29751.725110584404</v>
      </c>
      <c r="X27" s="28">
        <f t="shared" si="26"/>
        <v>36869.325759798754</v>
      </c>
      <c r="Y27" s="28">
        <f t="shared" si="26"/>
        <v>57535.436269140366</v>
      </c>
      <c r="Z27" s="16"/>
      <c r="AA27" s="28">
        <f>+AA7-AA14</f>
        <v>195848.69528343726</v>
      </c>
      <c r="AB27" s="16"/>
      <c r="AC27" s="28">
        <f t="shared" si="26"/>
        <v>71692.208143913711</v>
      </c>
      <c r="AD27" s="28">
        <f t="shared" si="26"/>
        <v>101443.93325449817</v>
      </c>
      <c r="AE27" s="28">
        <f t="shared" si="26"/>
        <v>138313.25901429704</v>
      </c>
      <c r="AF27" s="28">
        <f t="shared" si="26"/>
        <v>195848.69528343726</v>
      </c>
      <c r="AG27" s="16"/>
      <c r="AH27" s="16"/>
    </row>
    <row r="28" spans="1:34" x14ac:dyDescent="0.35">
      <c r="A28" s="20"/>
      <c r="B28" s="16"/>
      <c r="C28" s="12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0"/>
      <c r="R28" s="39"/>
      <c r="S28" s="17"/>
      <c r="T28" s="10"/>
      <c r="U28" s="16"/>
      <c r="V28" s="16"/>
      <c r="W28" s="16"/>
      <c r="X28" s="16"/>
      <c r="Y28" s="16"/>
      <c r="Z28" s="16"/>
      <c r="AA28" s="10"/>
      <c r="AB28" s="16"/>
      <c r="AC28" s="17"/>
      <c r="AD28" s="17"/>
      <c r="AE28" s="17"/>
      <c r="AF28" s="17"/>
      <c r="AG28" s="16"/>
      <c r="AH28" s="16"/>
    </row>
    <row r="29" spans="1:34" x14ac:dyDescent="0.35">
      <c r="A29" s="11" t="s">
        <v>34</v>
      </c>
      <c r="B29" s="12"/>
      <c r="C29" s="12"/>
      <c r="D29" s="12"/>
      <c r="E29" s="12"/>
      <c r="F29" s="12"/>
      <c r="G29" s="67">
        <f>G30+G31</f>
        <v>12847.848763873333</v>
      </c>
      <c r="H29" s="67">
        <f t="shared" ref="H29:R29" si="27">H30+H31</f>
        <v>12207.337783333332</v>
      </c>
      <c r="I29" s="67">
        <f t="shared" si="27"/>
        <v>3488.4927833333331</v>
      </c>
      <c r="J29" s="67">
        <f t="shared" si="27"/>
        <v>9030.8905333333332</v>
      </c>
      <c r="K29" s="67">
        <f t="shared" si="27"/>
        <v>67721.40754950972</v>
      </c>
      <c r="L29" s="67">
        <f t="shared" si="27"/>
        <v>3426.1627833333332</v>
      </c>
      <c r="M29" s="67">
        <f t="shared" si="27"/>
        <v>7796.3845333333329</v>
      </c>
      <c r="N29" s="67">
        <f t="shared" si="27"/>
        <v>5754.929783333333</v>
      </c>
      <c r="O29" s="67">
        <f t="shared" si="27"/>
        <v>2507.7577833333335</v>
      </c>
      <c r="P29" s="67">
        <f t="shared" si="27"/>
        <v>6714.5421027933344</v>
      </c>
      <c r="Q29" s="67">
        <f t="shared" si="27"/>
        <v>5601.3277833333332</v>
      </c>
      <c r="R29" s="67">
        <f t="shared" si="27"/>
        <v>2375.3885833333334</v>
      </c>
      <c r="S29" s="17"/>
      <c r="T29" s="28">
        <f>T30+T31</f>
        <v>139472.47076617638</v>
      </c>
      <c r="U29" s="16"/>
      <c r="V29" s="28">
        <f t="shared" ref="V29:Y29" si="28">V30+V31</f>
        <v>28543.679330539999</v>
      </c>
      <c r="W29" s="28">
        <f t="shared" si="28"/>
        <v>80178.460866176378</v>
      </c>
      <c r="X29" s="28">
        <f t="shared" si="28"/>
        <v>16059.072099999999</v>
      </c>
      <c r="Y29" s="28">
        <f t="shared" si="28"/>
        <v>14691.258469460001</v>
      </c>
      <c r="Z29" s="16"/>
      <c r="AA29" s="28">
        <f t="shared" ref="AA29" si="29">AA30+AA31</f>
        <v>139472.47076617638</v>
      </c>
      <c r="AB29" s="16"/>
      <c r="AC29" s="28">
        <f t="shared" ref="AC29:AF29" si="30">AC30+AC31</f>
        <v>28543.679330539999</v>
      </c>
      <c r="AD29" s="28">
        <f t="shared" si="30"/>
        <v>108722.14019671638</v>
      </c>
      <c r="AE29" s="28">
        <f t="shared" si="30"/>
        <v>124781.21229671639</v>
      </c>
      <c r="AF29" s="28">
        <f t="shared" si="30"/>
        <v>139472.47076617638</v>
      </c>
      <c r="AG29" s="16"/>
      <c r="AH29" s="16"/>
    </row>
    <row r="30" spans="1:34" x14ac:dyDescent="0.35">
      <c r="A30" s="11"/>
      <c r="B30" s="12" t="s">
        <v>25</v>
      </c>
      <c r="C30" s="12"/>
      <c r="D30" s="12"/>
      <c r="E30" s="12"/>
      <c r="F30" s="12"/>
      <c r="G30" s="42">
        <v>11128.631430539999</v>
      </c>
      <c r="H30" s="42">
        <v>10200</v>
      </c>
      <c r="I30" s="42">
        <v>1400</v>
      </c>
      <c r="J30" s="42">
        <v>7200</v>
      </c>
      <c r="K30" s="42">
        <v>5200</v>
      </c>
      <c r="L30" s="42">
        <v>1400</v>
      </c>
      <c r="M30" s="42">
        <v>6400</v>
      </c>
      <c r="N30" s="42">
        <v>5200</v>
      </c>
      <c r="O30" s="42">
        <v>1400</v>
      </c>
      <c r="P30" s="42">
        <v>5946.6755694600015</v>
      </c>
      <c r="Q30" s="42">
        <v>5200</v>
      </c>
      <c r="R30" s="42">
        <v>1400</v>
      </c>
      <c r="S30" s="17"/>
      <c r="T30" s="10">
        <f>SUM(G30:Q30)+R30</f>
        <v>62075.307000000001</v>
      </c>
      <c r="U30" s="16"/>
      <c r="V30" s="17">
        <f>SUM(G30:I30)</f>
        <v>22728.631430540001</v>
      </c>
      <c r="W30" s="17">
        <f>SUM(J30:L30)</f>
        <v>13800</v>
      </c>
      <c r="X30" s="17">
        <f>SUM(M30:O30)</f>
        <v>13000</v>
      </c>
      <c r="Y30" s="17">
        <f>SUM(P30:R30)</f>
        <v>12546.675569460001</v>
      </c>
      <c r="Z30" s="16"/>
      <c r="AA30" s="10">
        <f t="shared" ref="AA30:AA34" si="31">SUM(V30:Y30)</f>
        <v>62075.307000000001</v>
      </c>
      <c r="AB30" s="16"/>
      <c r="AC30" s="17">
        <f>V30</f>
        <v>22728.631430540001</v>
      </c>
      <c r="AD30" s="17">
        <f t="shared" ref="AD30:AF31" si="32">AC30+W30</f>
        <v>36528.631430540001</v>
      </c>
      <c r="AE30" s="17">
        <f t="shared" si="32"/>
        <v>49528.631430540001</v>
      </c>
      <c r="AF30" s="17">
        <f t="shared" si="32"/>
        <v>62075.307000000001</v>
      </c>
      <c r="AG30" s="16"/>
      <c r="AH30" s="16"/>
    </row>
    <row r="31" spans="1:34" x14ac:dyDescent="0.35">
      <c r="A31" s="12"/>
      <c r="B31" s="12" t="s">
        <v>26</v>
      </c>
      <c r="C31" s="12"/>
      <c r="D31" s="12"/>
      <c r="E31" s="12"/>
      <c r="F31" s="13"/>
      <c r="G31" s="42">
        <v>1719.2173333333333</v>
      </c>
      <c r="H31" s="42">
        <v>2007.3377833333332</v>
      </c>
      <c r="I31" s="42">
        <v>2088.4927833333331</v>
      </c>
      <c r="J31" s="42">
        <v>1830.8905333333332</v>
      </c>
      <c r="K31" s="42">
        <v>62521.40754950972</v>
      </c>
      <c r="L31" s="42">
        <v>2026.1627833333332</v>
      </c>
      <c r="M31" s="42">
        <v>1396.3845333333331</v>
      </c>
      <c r="N31" s="42">
        <v>554.92978333333338</v>
      </c>
      <c r="O31" s="42">
        <v>1107.7577833333332</v>
      </c>
      <c r="P31" s="42">
        <v>767.86653333333322</v>
      </c>
      <c r="Q31" s="42">
        <v>401.32778333333334</v>
      </c>
      <c r="R31" s="42">
        <v>975.38858333333326</v>
      </c>
      <c r="S31" s="17"/>
      <c r="T31" s="10">
        <f>SUM(G31:Q31)+R31</f>
        <v>77397.163766176382</v>
      </c>
      <c r="U31" s="16"/>
      <c r="V31" s="17">
        <f>SUM(G31:I31)</f>
        <v>5815.0478999999996</v>
      </c>
      <c r="W31" s="17">
        <f>SUM(J31:L31)</f>
        <v>66378.460866176378</v>
      </c>
      <c r="X31" s="17">
        <f>SUM(M31:O31)</f>
        <v>3059.0720999999994</v>
      </c>
      <c r="Y31" s="17">
        <f>SUM(P31:R31)</f>
        <v>2144.5828999999999</v>
      </c>
      <c r="Z31" s="16"/>
      <c r="AA31" s="10">
        <f t="shared" si="31"/>
        <v>77397.163766176382</v>
      </c>
      <c r="AB31" s="16"/>
      <c r="AC31" s="17">
        <f>V31</f>
        <v>5815.0478999999996</v>
      </c>
      <c r="AD31" s="17">
        <f t="shared" si="32"/>
        <v>72193.508766176383</v>
      </c>
      <c r="AE31" s="17">
        <f t="shared" si="32"/>
        <v>75252.580866176388</v>
      </c>
      <c r="AF31" s="17">
        <f t="shared" si="32"/>
        <v>77397.163766176382</v>
      </c>
      <c r="AG31" s="16"/>
      <c r="AH31" s="16"/>
    </row>
    <row r="32" spans="1:34" x14ac:dyDescent="0.35">
      <c r="A32" s="12"/>
      <c r="B32" s="12"/>
      <c r="C32" s="12"/>
      <c r="D32" s="12"/>
      <c r="E32" s="12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7"/>
      <c r="T32" s="10"/>
      <c r="U32" s="16"/>
      <c r="V32" s="16"/>
      <c r="W32" s="16"/>
      <c r="X32" s="16"/>
      <c r="Y32" s="16"/>
      <c r="Z32" s="16"/>
      <c r="AA32" s="10"/>
      <c r="AB32" s="16"/>
      <c r="AC32" s="17"/>
      <c r="AD32" s="17"/>
      <c r="AE32" s="17"/>
      <c r="AF32" s="17"/>
      <c r="AG32" s="16"/>
      <c r="AH32" s="16"/>
    </row>
    <row r="33" spans="1:34" ht="15.5" x14ac:dyDescent="0.35">
      <c r="A33" s="26" t="s">
        <v>75</v>
      </c>
      <c r="B33" s="27"/>
      <c r="C33" s="12"/>
      <c r="D33" s="12"/>
      <c r="E33" s="12"/>
      <c r="F33" s="12"/>
      <c r="G33" s="28">
        <v>9.1</v>
      </c>
      <c r="H33" s="28">
        <v>9.1</v>
      </c>
      <c r="I33" s="28">
        <v>557.84202789000005</v>
      </c>
      <c r="J33" s="28">
        <v>1419.1312347355699</v>
      </c>
      <c r="K33" s="28">
        <v>9.1</v>
      </c>
      <c r="L33" s="28">
        <v>9.1</v>
      </c>
      <c r="M33" s="28">
        <v>387.52472222</v>
      </c>
      <c r="N33" s="28">
        <v>9140.3921538407103</v>
      </c>
      <c r="O33" s="28">
        <v>557.84202789000005</v>
      </c>
      <c r="P33" s="28">
        <v>1409.1156375266801</v>
      </c>
      <c r="Q33" s="28">
        <v>9.1</v>
      </c>
      <c r="R33" s="28">
        <v>2308.85219589704</v>
      </c>
      <c r="S33" s="17"/>
      <c r="T33" s="28">
        <f>SUM(G33:Q33)+R33</f>
        <v>15826.199999999999</v>
      </c>
      <c r="U33" s="16"/>
      <c r="V33" s="22">
        <f>SUM(G33:I33)</f>
        <v>576.0420278900001</v>
      </c>
      <c r="W33" s="22">
        <f>SUM(J33:L33)</f>
        <v>1437.3312347355698</v>
      </c>
      <c r="X33" s="22">
        <f>SUM(M33:O33)</f>
        <v>10085.758903950709</v>
      </c>
      <c r="Y33" s="22">
        <f>SUM(P33:R33)</f>
        <v>3727.06783342372</v>
      </c>
      <c r="Z33" s="20"/>
      <c r="AA33" s="28">
        <f t="shared" si="31"/>
        <v>15826.199999999999</v>
      </c>
      <c r="AB33" s="16"/>
      <c r="AC33" s="22">
        <f>V33</f>
        <v>576.0420278900001</v>
      </c>
      <c r="AD33" s="22">
        <f t="shared" ref="AD33:AF34" si="33">AC33+W33</f>
        <v>2013.3732626255699</v>
      </c>
      <c r="AE33" s="22">
        <f t="shared" si="33"/>
        <v>12099.132166576279</v>
      </c>
      <c r="AF33" s="22">
        <f t="shared" si="33"/>
        <v>15826.199999999999</v>
      </c>
      <c r="AG33" s="16"/>
      <c r="AH33" s="16"/>
    </row>
    <row r="34" spans="1:34" ht="15.5" x14ac:dyDescent="0.35">
      <c r="A34" s="26" t="s">
        <v>76</v>
      </c>
      <c r="B34" s="27"/>
      <c r="C34" s="12"/>
      <c r="D34" s="12"/>
      <c r="E34" s="12"/>
      <c r="F34" s="12"/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8537</v>
      </c>
      <c r="S34" s="17"/>
      <c r="T34" s="28">
        <f>SUM(G34:Q34)+R34</f>
        <v>8537</v>
      </c>
      <c r="U34" s="16"/>
      <c r="V34" s="22">
        <f>SUM(G34:I34)</f>
        <v>0</v>
      </c>
      <c r="W34" s="22">
        <f>SUM(J34:L34)</f>
        <v>0</v>
      </c>
      <c r="X34" s="22">
        <f>SUM(M34:O34)</f>
        <v>0</v>
      </c>
      <c r="Y34" s="22">
        <f>SUM(P34:R34)</f>
        <v>8537</v>
      </c>
      <c r="Z34" s="20"/>
      <c r="AA34" s="28">
        <f t="shared" si="31"/>
        <v>8537</v>
      </c>
      <c r="AB34" s="16"/>
      <c r="AC34" s="22">
        <f>V34</f>
        <v>0</v>
      </c>
      <c r="AD34" s="22">
        <f t="shared" si="33"/>
        <v>0</v>
      </c>
      <c r="AE34" s="22">
        <f t="shared" si="33"/>
        <v>0</v>
      </c>
      <c r="AF34" s="22">
        <f t="shared" si="33"/>
        <v>8537</v>
      </c>
      <c r="AG34" s="16"/>
      <c r="AH34" s="16"/>
    </row>
    <row r="35" spans="1:34" ht="15.5" x14ac:dyDescent="0.35">
      <c r="A35" s="26"/>
      <c r="B35" s="27"/>
      <c r="C35" s="12"/>
      <c r="D35" s="12"/>
      <c r="E35" s="12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7"/>
      <c r="T35" s="10"/>
      <c r="U35" s="16"/>
      <c r="V35" s="16"/>
      <c r="W35" s="16"/>
      <c r="X35" s="16"/>
      <c r="Y35" s="16"/>
      <c r="Z35" s="16"/>
      <c r="AA35" s="10"/>
      <c r="AB35" s="16"/>
      <c r="AC35" s="17"/>
      <c r="AD35" s="17"/>
      <c r="AE35" s="17"/>
      <c r="AF35" s="17"/>
      <c r="AG35" s="16"/>
      <c r="AH35" s="16"/>
    </row>
    <row r="36" spans="1:34" x14ac:dyDescent="0.35">
      <c r="A36" s="11" t="s">
        <v>31</v>
      </c>
      <c r="B36" s="12"/>
      <c r="C36" s="12"/>
      <c r="D36" s="12"/>
      <c r="E36" s="12"/>
      <c r="F36" s="12"/>
      <c r="G36" s="67">
        <f>+G37+G38</f>
        <v>5181.6097081356602</v>
      </c>
      <c r="H36" s="67">
        <f t="shared" ref="H36:R36" si="34">+H37+H38</f>
        <v>6501.0665794833203</v>
      </c>
      <c r="I36" s="67">
        <f t="shared" si="34"/>
        <v>6069.6213525587</v>
      </c>
      <c r="J36" s="67">
        <f t="shared" si="34"/>
        <v>30357.523773561141</v>
      </c>
      <c r="K36" s="67">
        <f t="shared" si="34"/>
        <v>8627.1856824461611</v>
      </c>
      <c r="L36" s="67">
        <f t="shared" si="34"/>
        <v>3772.4364501989003</v>
      </c>
      <c r="M36" s="67">
        <f t="shared" si="34"/>
        <v>4388.3131692493207</v>
      </c>
      <c r="N36" s="67">
        <f t="shared" si="34"/>
        <v>31849.474702239542</v>
      </c>
      <c r="O36" s="67">
        <f t="shared" si="34"/>
        <v>6080.71733216128</v>
      </c>
      <c r="P36" s="67">
        <f t="shared" si="34"/>
        <v>10266.43287976092</v>
      </c>
      <c r="Q36" s="67">
        <f t="shared" si="34"/>
        <v>8601.2078215803995</v>
      </c>
      <c r="R36" s="67">
        <f t="shared" si="34"/>
        <v>3756.43935407858</v>
      </c>
      <c r="S36" s="17"/>
      <c r="T36" s="28">
        <f>+T37+T38</f>
        <v>125452.02880545393</v>
      </c>
      <c r="U36" s="16"/>
      <c r="V36" s="28">
        <f>+V37+V38</f>
        <v>17752.297640177683</v>
      </c>
      <c r="W36" s="28">
        <f t="shared" ref="W36:Y36" si="35">+W37+W38</f>
        <v>42757.145906206206</v>
      </c>
      <c r="X36" s="28">
        <f t="shared" si="35"/>
        <v>42318.505203650144</v>
      </c>
      <c r="Y36" s="28">
        <f t="shared" si="35"/>
        <v>22624.080055419898</v>
      </c>
      <c r="Z36" s="16"/>
      <c r="AA36" s="28">
        <f>+AA37+AA38</f>
        <v>125452.02880545393</v>
      </c>
      <c r="AB36" s="16"/>
      <c r="AC36" s="28">
        <f t="shared" ref="AC36:AF36" si="36">+AC37+AC38</f>
        <v>17752.297640177683</v>
      </c>
      <c r="AD36" s="28">
        <f t="shared" si="36"/>
        <v>60509.443546383889</v>
      </c>
      <c r="AE36" s="28">
        <f t="shared" si="36"/>
        <v>102827.94875003403</v>
      </c>
      <c r="AF36" s="28">
        <f t="shared" si="36"/>
        <v>125452.02880545393</v>
      </c>
      <c r="AG36" s="16"/>
      <c r="AH36" s="16"/>
    </row>
    <row r="37" spans="1:34" x14ac:dyDescent="0.35">
      <c r="A37" s="12" t="s">
        <v>32</v>
      </c>
      <c r="B37" s="12" t="s">
        <v>25</v>
      </c>
      <c r="C37" s="12"/>
      <c r="D37" s="12"/>
      <c r="E37" s="12"/>
      <c r="F37" s="12"/>
      <c r="G37" s="10">
        <v>2116.0474444444399</v>
      </c>
      <c r="H37" s="10">
        <v>2116.0474444444399</v>
      </c>
      <c r="I37" s="10">
        <v>1360.5767777777801</v>
      </c>
      <c r="J37" s="10">
        <v>2116.0474444444399</v>
      </c>
      <c r="K37" s="10">
        <v>2116.0474444444399</v>
      </c>
      <c r="L37" s="10">
        <v>1360.5767777777801</v>
      </c>
      <c r="M37" s="10">
        <v>1360.5767777777801</v>
      </c>
      <c r="N37" s="10">
        <v>2116.0474444444399</v>
      </c>
      <c r="O37" s="10">
        <v>1360.5767777777801</v>
      </c>
      <c r="P37" s="10">
        <v>2116.0474444444399</v>
      </c>
      <c r="Q37" s="10">
        <v>2181.83844444444</v>
      </c>
      <c r="R37" s="10">
        <v>1360.8267777777801</v>
      </c>
      <c r="S37" s="17"/>
      <c r="T37" s="10">
        <f>SUM(G37:Q37)+R37</f>
        <v>21681.256999999983</v>
      </c>
      <c r="U37" s="16"/>
      <c r="V37" s="17">
        <f>SUM(G37:I37)</f>
        <v>5592.6716666666598</v>
      </c>
      <c r="W37" s="17">
        <f>SUM(J37:L37)</f>
        <v>5592.6716666666598</v>
      </c>
      <c r="X37" s="17">
        <f>SUM(M37:O37)</f>
        <v>4837.201</v>
      </c>
      <c r="Y37" s="17">
        <f>SUM(P37:R37)</f>
        <v>5658.71266666666</v>
      </c>
      <c r="Z37" s="16"/>
      <c r="AA37" s="10">
        <f t="shared" ref="AA37:AA38" si="37">SUM(V37:Y37)</f>
        <v>21681.25699999998</v>
      </c>
      <c r="AB37" s="16"/>
      <c r="AC37" s="17">
        <f>V37</f>
        <v>5592.6716666666598</v>
      </c>
      <c r="AD37" s="17">
        <f t="shared" ref="AD37:AF38" si="38">AC37+W37</f>
        <v>11185.34333333332</v>
      </c>
      <c r="AE37" s="17">
        <f t="shared" si="38"/>
        <v>16022.544333333321</v>
      </c>
      <c r="AF37" s="17">
        <f t="shared" si="38"/>
        <v>21681.25699999998</v>
      </c>
      <c r="AG37" s="16"/>
      <c r="AH37" s="16"/>
    </row>
    <row r="38" spans="1:34" x14ac:dyDescent="0.35">
      <c r="A38" s="12" t="s">
        <v>33</v>
      </c>
      <c r="B38" s="12" t="s">
        <v>26</v>
      </c>
      <c r="C38" s="12"/>
      <c r="D38" s="12"/>
      <c r="E38" s="12"/>
      <c r="F38" s="12"/>
      <c r="G38" s="10">
        <v>3065.5622636912199</v>
      </c>
      <c r="H38" s="10">
        <v>4385.0191350388804</v>
      </c>
      <c r="I38" s="10">
        <v>4709.0445747809199</v>
      </c>
      <c r="J38" s="10">
        <v>28241.4763291167</v>
      </c>
      <c r="K38" s="10">
        <v>6511.1382380017203</v>
      </c>
      <c r="L38" s="10">
        <v>2411.8596724211202</v>
      </c>
      <c r="M38" s="10">
        <v>3027.7363914715402</v>
      </c>
      <c r="N38" s="10">
        <v>29733.427257795101</v>
      </c>
      <c r="O38" s="10">
        <v>4720.1405543834999</v>
      </c>
      <c r="P38" s="10">
        <v>8150.3854353164797</v>
      </c>
      <c r="Q38" s="10">
        <v>6419.3693771359603</v>
      </c>
      <c r="R38" s="10">
        <v>2395.6125763007999</v>
      </c>
      <c r="S38" s="17"/>
      <c r="T38" s="10">
        <f>SUM(G38:Q38)+R38</f>
        <v>103770.77180545394</v>
      </c>
      <c r="U38" s="16"/>
      <c r="V38" s="17">
        <f>SUM(G38:I38)</f>
        <v>12159.625973511022</v>
      </c>
      <c r="W38" s="17">
        <f>SUM(J38:L38)</f>
        <v>37164.474239539544</v>
      </c>
      <c r="X38" s="17">
        <f>SUM(M38:O38)</f>
        <v>37481.304203650143</v>
      </c>
      <c r="Y38" s="17">
        <f>SUM(P38:R38)</f>
        <v>16965.367388753239</v>
      </c>
      <c r="Z38" s="16"/>
      <c r="AA38" s="10">
        <f t="shared" si="37"/>
        <v>103770.77180545394</v>
      </c>
      <c r="AB38" s="16"/>
      <c r="AC38" s="17">
        <f>V38</f>
        <v>12159.625973511022</v>
      </c>
      <c r="AD38" s="17">
        <f t="shared" si="38"/>
        <v>49324.100213050566</v>
      </c>
      <c r="AE38" s="17">
        <f t="shared" si="38"/>
        <v>86805.404416700709</v>
      </c>
      <c r="AF38" s="17">
        <f t="shared" si="38"/>
        <v>103770.77180545394</v>
      </c>
      <c r="AG38" s="16"/>
      <c r="AH38" s="16"/>
    </row>
    <row r="39" spans="1:34" x14ac:dyDescent="0.35"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7"/>
      <c r="T39" s="30"/>
    </row>
    <row r="40" spans="1:34" x14ac:dyDescent="0.35">
      <c r="A40" s="21" t="s">
        <v>74</v>
      </c>
      <c r="B40" s="21"/>
      <c r="C40" s="21"/>
      <c r="D40" s="21"/>
      <c r="E40" s="21"/>
      <c r="F40" s="21"/>
      <c r="G40" s="29">
        <f>G27+G29+G33-G36-G34</f>
        <v>38587.057601951528</v>
      </c>
      <c r="H40" s="29">
        <f t="shared" ref="H40:Q40" si="39">H27+H29+H33-H36-H34</f>
        <v>14866.528051277231</v>
      </c>
      <c r="I40" s="29">
        <f t="shared" si="39"/>
        <v>29606.046208937252</v>
      </c>
      <c r="J40" s="29">
        <f>J27+J29+J33-J36-J34</f>
        <v>-9442.1173617014319</v>
      </c>
      <c r="K40" s="29">
        <f t="shared" si="39"/>
        <v>58236.369662908153</v>
      </c>
      <c r="L40" s="29">
        <f t="shared" si="39"/>
        <v>19816.119004083444</v>
      </c>
      <c r="M40" s="29">
        <f t="shared" si="39"/>
        <v>964.73243659784475</v>
      </c>
      <c r="N40" s="29">
        <f t="shared" si="39"/>
        <v>-8451.270978282304</v>
      </c>
      <c r="O40" s="29">
        <f t="shared" si="39"/>
        <v>28182.190101783854</v>
      </c>
      <c r="P40" s="29">
        <f t="shared" si="39"/>
        <v>962.41520805395703</v>
      </c>
      <c r="Q40" s="29">
        <f t="shared" si="39"/>
        <v>36.891756565290052</v>
      </c>
      <c r="R40" s="29">
        <f>R27+R29+R33-R36-R34</f>
        <v>43793.375551984878</v>
      </c>
      <c r="S40" s="17"/>
      <c r="T40" s="29">
        <f>T27+T29+T33-T36-T34</f>
        <v>217158.3372441596</v>
      </c>
      <c r="U40" s="16"/>
      <c r="V40" s="29">
        <f>V27+V29+V33-V36-V34</f>
        <v>83059.631862166032</v>
      </c>
      <c r="W40" s="29">
        <f>W27+W29+W33-W36-W34</f>
        <v>68610.371305290144</v>
      </c>
      <c r="X40" s="29">
        <f t="shared" ref="X40:Y40" si="40">X27+X29+X33-X36-X34</f>
        <v>20695.651560099315</v>
      </c>
      <c r="Y40" s="29">
        <f t="shared" si="40"/>
        <v>44792.682516604196</v>
      </c>
      <c r="Z40" s="16"/>
      <c r="AA40" s="29">
        <f>AA27+AA29+AA33-AA36-AA34</f>
        <v>217158.33724415972</v>
      </c>
      <c r="AB40" s="16"/>
      <c r="AC40" s="29">
        <f>AC27+AC29+AC33-AC36-AC34</f>
        <v>83059.631862166032</v>
      </c>
      <c r="AD40" s="29">
        <f t="shared" ref="AD40:AE40" si="41">AD27+AD29+AD33-AD36-AD34</f>
        <v>151670.00316745625</v>
      </c>
      <c r="AE40" s="29">
        <f t="shared" si="41"/>
        <v>172365.65472755569</v>
      </c>
      <c r="AF40" s="29">
        <f>AF27+AF29+AF33-AF36-AF34</f>
        <v>217158.33724415972</v>
      </c>
      <c r="AG40" s="16"/>
      <c r="AH40" s="16"/>
    </row>
    <row r="41" spans="1:34" s="62" customFormat="1" x14ac:dyDescent="0.35">
      <c r="A41" s="49" t="s">
        <v>30</v>
      </c>
      <c r="B41" s="49"/>
      <c r="C41" s="49"/>
      <c r="D41" s="49"/>
      <c r="E41" s="49"/>
      <c r="F41" s="49"/>
      <c r="G41" s="60">
        <f>+G27+G20</f>
        <v>44624.303512727638</v>
      </c>
      <c r="H41" s="60">
        <f t="shared" ref="H41:R41" si="42">+H27+H20</f>
        <v>19357.87777742698</v>
      </c>
      <c r="I41" s="60">
        <f t="shared" si="42"/>
        <v>41141.369497972708</v>
      </c>
      <c r="J41" s="60">
        <f t="shared" si="42"/>
        <v>27549.328461987418</v>
      </c>
      <c r="K41" s="60">
        <f t="shared" si="42"/>
        <v>14539.963957059204</v>
      </c>
      <c r="L41" s="60">
        <f t="shared" si="42"/>
        <v>32277.329162975744</v>
      </c>
      <c r="M41" s="60">
        <f>+M27+M20</f>
        <v>10785.611905888432</v>
      </c>
      <c r="N41" s="60">
        <f t="shared" si="42"/>
        <v>18684.434545810167</v>
      </c>
      <c r="O41" s="60">
        <f t="shared" si="42"/>
        <v>40589.990934344925</v>
      </c>
      <c r="P41" s="60">
        <f t="shared" si="42"/>
        <v>19317.972836868561</v>
      </c>
      <c r="Q41" s="60">
        <f t="shared" si="42"/>
        <v>18379.134388767616</v>
      </c>
      <c r="R41" s="60">
        <f t="shared" si="42"/>
        <v>63758.898723267419</v>
      </c>
      <c r="S41" s="49"/>
      <c r="T41" s="60">
        <f>+T27+T20</f>
        <v>351006.21570509672</v>
      </c>
      <c r="U41" s="49"/>
      <c r="V41" s="60">
        <f>+V27+V20</f>
        <v>105123.55078812734</v>
      </c>
      <c r="W41" s="60">
        <f t="shared" ref="W41:Y41" si="43">+W27+W20</f>
        <v>74366.621582022373</v>
      </c>
      <c r="X41" s="60">
        <f t="shared" si="43"/>
        <v>70060.037386043463</v>
      </c>
      <c r="Y41" s="60">
        <f t="shared" si="43"/>
        <v>101456.00594890365</v>
      </c>
      <c r="Z41" s="49"/>
      <c r="AA41" s="60">
        <f>+AA27+AA20</f>
        <v>351006.21570509684</v>
      </c>
      <c r="AB41" s="49"/>
      <c r="AC41" s="60">
        <f t="shared" ref="AC41:AF41" si="44">+AC27+AC20</f>
        <v>105123.55078812734</v>
      </c>
      <c r="AD41" s="60">
        <f t="shared" si="44"/>
        <v>179490.17237014975</v>
      </c>
      <c r="AE41" s="60">
        <f t="shared" si="44"/>
        <v>249550.20975619333</v>
      </c>
      <c r="AF41" s="60">
        <f t="shared" si="44"/>
        <v>351006.21570509684</v>
      </c>
      <c r="AG41" s="61"/>
      <c r="AH41" s="61"/>
    </row>
    <row r="42" spans="1:34" x14ac:dyDescent="0.35">
      <c r="A42" s="16"/>
      <c r="B42" s="16"/>
      <c r="C42" s="16"/>
      <c r="D42" s="16"/>
      <c r="E42" s="16"/>
      <c r="F42" s="16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x14ac:dyDescent="0.35">
      <c r="A43" s="63"/>
      <c r="B43" s="18"/>
      <c r="C43" s="18"/>
      <c r="D43" s="18"/>
      <c r="E43" s="18"/>
      <c r="F43" s="18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6"/>
      <c r="T43" s="19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x14ac:dyDescent="0.35">
      <c r="A44" s="63"/>
      <c r="B44" s="16"/>
      <c r="C44" s="16"/>
      <c r="D44" s="16"/>
      <c r="E44" s="16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6"/>
      <c r="T44" s="10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7" spans="1:34" x14ac:dyDescent="0.35">
      <c r="A47" s="73" t="s">
        <v>86</v>
      </c>
      <c r="B47" s="73"/>
      <c r="C47" s="73"/>
      <c r="D47" s="73"/>
      <c r="E47" s="73"/>
      <c r="F47" s="73"/>
      <c r="G47" s="73">
        <v>24456.607017630002</v>
      </c>
      <c r="H47" s="73">
        <v>18795.695973870002</v>
      </c>
      <c r="I47" s="73">
        <v>22461.666798530001</v>
      </c>
      <c r="J47" s="73">
        <v>20336.253428409997</v>
      </c>
      <c r="K47" s="73">
        <v>23835.796012579998</v>
      </c>
      <c r="L47" s="73">
        <v>18232.854392840029</v>
      </c>
      <c r="M47" s="73">
        <v>20982.243346039955</v>
      </c>
      <c r="N47" s="73">
        <v>18442.427089889945</v>
      </c>
      <c r="O47" s="73">
        <v>25811.32841966</v>
      </c>
      <c r="P47" s="73">
        <v>24366.047580800001</v>
      </c>
      <c r="Q47" s="73">
        <v>18918.388458310004</v>
      </c>
      <c r="R47" s="73">
        <v>40664.08730735007</v>
      </c>
    </row>
    <row r="48" spans="1:34" x14ac:dyDescent="0.35">
      <c r="A48" s="73" t="s">
        <v>87</v>
      </c>
      <c r="B48" s="73"/>
      <c r="C48" s="73"/>
      <c r="D48" s="73"/>
      <c r="E48" s="73"/>
      <c r="F48" s="73"/>
      <c r="G48" s="74">
        <f>G16-G47</f>
        <v>-100.12801763000243</v>
      </c>
      <c r="H48" s="74">
        <f t="shared" ref="H48:R48" si="45">H16-H47</f>
        <v>5604.6681170390912</v>
      </c>
      <c r="I48" s="74">
        <f t="shared" si="45"/>
        <v>885.65129237909059</v>
      </c>
      <c r="J48" s="74">
        <f t="shared" si="45"/>
        <v>5525.7406624990945</v>
      </c>
      <c r="K48" s="74">
        <f t="shared" si="45"/>
        <v>3396.7360783290933</v>
      </c>
      <c r="L48" s="74">
        <f t="shared" si="45"/>
        <v>10851.960698069062</v>
      </c>
      <c r="M48" s="74">
        <f t="shared" si="45"/>
        <v>2763.8597448691362</v>
      </c>
      <c r="N48" s="74">
        <f t="shared" si="45"/>
        <v>3438.8250010191477</v>
      </c>
      <c r="O48" s="74">
        <f t="shared" si="45"/>
        <v>-3435.3933287509062</v>
      </c>
      <c r="P48" s="74">
        <f t="shared" si="45"/>
        <v>2056.0255101090916</v>
      </c>
      <c r="Q48" s="74">
        <f t="shared" si="45"/>
        <v>305.22063259908828</v>
      </c>
      <c r="R48" s="74">
        <f t="shared" si="45"/>
        <v>-18790.157216440977</v>
      </c>
    </row>
    <row r="49" spans="1:18" x14ac:dyDescent="0.35">
      <c r="A49" s="73" t="s">
        <v>88</v>
      </c>
      <c r="B49" s="73"/>
      <c r="C49" s="73"/>
      <c r="D49" s="73"/>
      <c r="E49" s="73"/>
      <c r="F49" s="73"/>
      <c r="G49" s="75">
        <f>G48/G47</f>
        <v>-4.0941091116123872E-3</v>
      </c>
      <c r="H49" s="75">
        <f t="shared" ref="H49:R49" si="46">H48/H47</f>
        <v>0.2981889111651288</v>
      </c>
      <c r="I49" s="75">
        <f t="shared" si="46"/>
        <v>3.9429455539650861E-2</v>
      </c>
      <c r="J49" s="75">
        <f t="shared" si="46"/>
        <v>0.27171871564009753</v>
      </c>
      <c r="K49" s="75">
        <f t="shared" si="46"/>
        <v>0.14250566989818053</v>
      </c>
      <c r="L49" s="75">
        <f t="shared" si="46"/>
        <v>0.59518715305106507</v>
      </c>
      <c r="M49" s="75">
        <f t="shared" si="46"/>
        <v>0.13172374847090734</v>
      </c>
      <c r="N49" s="75">
        <f t="shared" si="46"/>
        <v>0.18646271362538264</v>
      </c>
      <c r="O49" s="75">
        <f t="shared" si="46"/>
        <v>-0.13309633944040758</v>
      </c>
      <c r="P49" s="75">
        <f t="shared" si="46"/>
        <v>8.4380755774654315E-2</v>
      </c>
      <c r="Q49" s="75">
        <f t="shared" si="46"/>
        <v>1.6133542942713942E-2</v>
      </c>
      <c r="R49" s="75">
        <f t="shared" si="46"/>
        <v>-0.4620823547426488</v>
      </c>
    </row>
  </sheetData>
  <pageMargins left="0.7" right="0.7" top="0.75" bottom="0.75" header="0.3" footer="0.3"/>
  <pageSetup paperSize="5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8"/>
  <sheetViews>
    <sheetView workbookViewId="0">
      <selection activeCell="I5" sqref="I5"/>
    </sheetView>
  </sheetViews>
  <sheetFormatPr defaultRowHeight="14.5" x14ac:dyDescent="0.35"/>
  <cols>
    <col min="11" max="11" width="43" style="82" customWidth="1"/>
  </cols>
  <sheetData>
    <row r="2" spans="1:11" x14ac:dyDescent="0.35">
      <c r="G2" t="s">
        <v>89</v>
      </c>
    </row>
    <row r="4" spans="1:11" x14ac:dyDescent="0.35">
      <c r="A4" s="11" t="s">
        <v>12</v>
      </c>
      <c r="B4" s="12"/>
      <c r="C4" s="12"/>
      <c r="D4" s="12"/>
      <c r="G4" s="81">
        <f>Summary!G7+Summary!H7</f>
        <v>192482.89238106372</v>
      </c>
      <c r="I4">
        <v>117445.5241549435</v>
      </c>
      <c r="K4" s="82">
        <f>G4-I4</f>
        <v>75037.368226120219</v>
      </c>
    </row>
    <row r="5" spans="1:11" x14ac:dyDescent="0.35">
      <c r="A5" s="12"/>
      <c r="B5" s="12" t="s">
        <v>13</v>
      </c>
      <c r="C5" s="12"/>
      <c r="D5" s="12"/>
      <c r="G5" s="81">
        <f>Summary!G8+Summary!H8</f>
        <v>185745.58063443471</v>
      </c>
      <c r="I5">
        <v>110035.55877698108</v>
      </c>
      <c r="K5" s="82">
        <f t="shared" ref="K5:K9" si="0">G5-I5</f>
        <v>75710.021857453627</v>
      </c>
    </row>
    <row r="6" spans="1:11" x14ac:dyDescent="0.35">
      <c r="A6" s="12"/>
      <c r="B6" s="12" t="s">
        <v>14</v>
      </c>
      <c r="C6" s="12"/>
      <c r="D6" s="12"/>
      <c r="G6" s="81">
        <f>Summary!G9+Summary!H9</f>
        <v>6340.9910640700991</v>
      </c>
      <c r="I6">
        <v>5560.6062414187436</v>
      </c>
      <c r="K6" s="82">
        <f t="shared" si="0"/>
        <v>780.38482265135553</v>
      </c>
    </row>
    <row r="7" spans="1:11" x14ac:dyDescent="0.35">
      <c r="A7" s="14"/>
      <c r="B7" s="14" t="s">
        <v>15</v>
      </c>
      <c r="C7" s="14"/>
      <c r="D7" s="12"/>
      <c r="G7" s="81">
        <f>Summary!G10+Summary!H10</f>
        <v>0</v>
      </c>
      <c r="I7">
        <v>211.68588654367696</v>
      </c>
      <c r="K7" s="82">
        <f t="shared" si="0"/>
        <v>-211.68588654367696</v>
      </c>
    </row>
    <row r="8" spans="1:11" x14ac:dyDescent="0.35">
      <c r="A8" s="12"/>
      <c r="B8" s="12" t="s">
        <v>16</v>
      </c>
      <c r="C8" s="12"/>
      <c r="D8" s="12"/>
      <c r="G8" s="81">
        <f>Summary!G11+Summary!H11</f>
        <v>0</v>
      </c>
      <c r="I8">
        <v>0</v>
      </c>
      <c r="K8" s="82">
        <f t="shared" si="0"/>
        <v>0</v>
      </c>
    </row>
    <row r="9" spans="1:11" x14ac:dyDescent="0.35">
      <c r="A9" s="14"/>
      <c r="B9" s="14" t="s">
        <v>17</v>
      </c>
      <c r="C9" s="14"/>
      <c r="D9" s="12"/>
      <c r="G9" s="81">
        <f>Summary!G12+Summary!H12</f>
        <v>396.32068255889857</v>
      </c>
      <c r="I9">
        <v>1637.6732499999998</v>
      </c>
      <c r="K9" s="82">
        <f t="shared" si="0"/>
        <v>-1241.3525674411012</v>
      </c>
    </row>
    <row r="10" spans="1:11" x14ac:dyDescent="0.35">
      <c r="A10" s="14"/>
      <c r="B10" s="12"/>
      <c r="C10" s="12"/>
      <c r="D10" s="12"/>
    </row>
    <row r="11" spans="1:11" x14ac:dyDescent="0.35">
      <c r="A11" s="11" t="s">
        <v>18</v>
      </c>
      <c r="B11" s="12"/>
      <c r="C11" s="12"/>
      <c r="D11" s="12"/>
      <c r="G11" s="81">
        <f>Summary!G14+Summary!H14</f>
        <v>203942.67227280128</v>
      </c>
      <c r="I11">
        <v>151888.82030257885</v>
      </c>
      <c r="K11" s="82">
        <f t="shared" ref="K11:K19" si="1">G11-I11</f>
        <v>52053.851970222429</v>
      </c>
    </row>
    <row r="12" spans="1:11" x14ac:dyDescent="0.35">
      <c r="A12" s="11"/>
      <c r="B12" s="11" t="s">
        <v>19</v>
      </c>
      <c r="C12" s="12"/>
      <c r="D12" s="12"/>
      <c r="G12" s="81">
        <f>Summary!G15+Summary!H15</f>
        <v>192249.29499999998</v>
      </c>
      <c r="I12">
        <v>140644.50710257885</v>
      </c>
      <c r="K12" s="82">
        <f t="shared" si="1"/>
        <v>51604.787897421134</v>
      </c>
    </row>
    <row r="13" spans="1:11" x14ac:dyDescent="0.35">
      <c r="A13" s="12"/>
      <c r="B13" s="12"/>
      <c r="C13" s="12" t="s">
        <v>20</v>
      </c>
      <c r="D13" s="12"/>
      <c r="G13" s="81">
        <f>Summary!G16+Summary!H16</f>
        <v>72546.576000000001</v>
      </c>
      <c r="I13">
        <v>48756.84354490909</v>
      </c>
      <c r="K13" s="82">
        <f t="shared" si="1"/>
        <v>23789.732455090911</v>
      </c>
    </row>
    <row r="14" spans="1:11" x14ac:dyDescent="0.35">
      <c r="A14" s="12"/>
      <c r="B14" s="12"/>
      <c r="C14" s="12" t="s">
        <v>21</v>
      </c>
      <c r="D14" s="12"/>
      <c r="G14" s="81">
        <f>Summary!G17+Summary!H17</f>
        <v>88399.499999999971</v>
      </c>
      <c r="I14">
        <v>67664.978000000003</v>
      </c>
      <c r="K14" s="82">
        <f t="shared" si="1"/>
        <v>20734.521999999968</v>
      </c>
    </row>
    <row r="15" spans="1:11" x14ac:dyDescent="0.35">
      <c r="A15" s="12"/>
      <c r="B15" s="12"/>
      <c r="C15" s="12"/>
      <c r="D15" s="12" t="s">
        <v>22</v>
      </c>
      <c r="G15" s="81">
        <f>Summary!G18+Summary!H18</f>
        <v>81639.51236000465</v>
      </c>
      <c r="I15">
        <v>61985.307474878464</v>
      </c>
      <c r="K15" s="82">
        <f t="shared" si="1"/>
        <v>19654.204885126186</v>
      </c>
    </row>
    <row r="16" spans="1:11" x14ac:dyDescent="0.35">
      <c r="A16" s="12"/>
      <c r="B16" s="12"/>
      <c r="C16" s="12"/>
      <c r="D16" s="12" t="s">
        <v>23</v>
      </c>
      <c r="G16" s="81">
        <f>Summary!G19+Summary!H19</f>
        <v>6759.9876399953164</v>
      </c>
      <c r="I16">
        <v>5679.6705251215353</v>
      </c>
      <c r="K16" s="82">
        <f t="shared" si="1"/>
        <v>1080.3171148737811</v>
      </c>
    </row>
    <row r="17" spans="1:11" x14ac:dyDescent="0.35">
      <c r="A17" s="12"/>
      <c r="B17" s="12"/>
      <c r="C17" s="12" t="s">
        <v>24</v>
      </c>
      <c r="D17" s="12"/>
      <c r="G17" s="81">
        <f>Summary!G20+Summary!H20</f>
        <v>31303.218999999997</v>
      </c>
      <c r="I17">
        <v>24222.685557669764</v>
      </c>
      <c r="K17" s="82">
        <f t="shared" si="1"/>
        <v>7080.5334423302338</v>
      </c>
    </row>
    <row r="18" spans="1:11" x14ac:dyDescent="0.35">
      <c r="A18" s="12"/>
      <c r="B18" s="12"/>
      <c r="C18" s="12"/>
      <c r="D18" s="12" t="s">
        <v>25</v>
      </c>
      <c r="G18" s="81">
        <f>Summary!G21+Summary!H21</f>
        <v>12408.078</v>
      </c>
      <c r="I18">
        <v>9575.9937745043208</v>
      </c>
      <c r="K18" s="82">
        <f t="shared" si="1"/>
        <v>2832.0842254956788</v>
      </c>
    </row>
    <row r="19" spans="1:11" x14ac:dyDescent="0.35">
      <c r="A19" s="12"/>
      <c r="B19" s="12"/>
      <c r="C19" s="12"/>
      <c r="D19" s="12" t="s">
        <v>26</v>
      </c>
      <c r="G19" s="81">
        <f>Summary!G22+Summary!H22</f>
        <v>18895.141000000003</v>
      </c>
      <c r="I19">
        <v>14646.691783165443</v>
      </c>
      <c r="K19" s="82">
        <f t="shared" si="1"/>
        <v>4248.4492168345605</v>
      </c>
    </row>
    <row r="20" spans="1:11" x14ac:dyDescent="0.35">
      <c r="A20" s="12"/>
      <c r="B20" s="12"/>
      <c r="C20" s="12"/>
      <c r="D20" s="12"/>
    </row>
    <row r="21" spans="1:11" x14ac:dyDescent="0.35">
      <c r="A21" s="11"/>
      <c r="B21" s="11" t="s">
        <v>27</v>
      </c>
      <c r="C21" s="11"/>
      <c r="D21" s="11"/>
      <c r="G21" s="81">
        <f>Summary!G24+Summary!H24</f>
        <v>11693.377272801299</v>
      </c>
      <c r="I21">
        <v>11244.313200000001</v>
      </c>
      <c r="K21" s="82">
        <f t="shared" ref="K21:K22" si="2">G21-I21</f>
        <v>449.06407280129861</v>
      </c>
    </row>
    <row r="22" spans="1:11" x14ac:dyDescent="0.35">
      <c r="A22" s="12"/>
      <c r="B22" s="12"/>
      <c r="C22" s="12" t="s">
        <v>28</v>
      </c>
      <c r="D22" s="12"/>
      <c r="G22" s="81">
        <f>Summary!G25+Summary!H25</f>
        <v>11693.377272801299</v>
      </c>
      <c r="I22">
        <v>11244.313200000001</v>
      </c>
      <c r="K22" s="82">
        <f t="shared" si="2"/>
        <v>449.06407280129861</v>
      </c>
    </row>
    <row r="23" spans="1:11" x14ac:dyDescent="0.35">
      <c r="A23" s="12"/>
      <c r="B23" s="12"/>
      <c r="C23" s="12"/>
      <c r="D23" s="12"/>
    </row>
    <row r="24" spans="1:11" x14ac:dyDescent="0.35">
      <c r="A24" s="11" t="s">
        <v>29</v>
      </c>
      <c r="B24" s="12"/>
      <c r="C24" s="12"/>
      <c r="D24" s="12"/>
      <c r="G24" s="81">
        <f>Summary!G27+Summary!H27</f>
        <v>-11459.779891737562</v>
      </c>
      <c r="I24">
        <v>-34443.296147635352</v>
      </c>
      <c r="K24" s="82">
        <f>G24-I24</f>
        <v>22983.51625589779</v>
      </c>
    </row>
    <row r="25" spans="1:11" x14ac:dyDescent="0.35">
      <c r="A25" s="20"/>
      <c r="B25" s="16"/>
      <c r="C25" s="12"/>
      <c r="D25" s="12"/>
    </row>
    <row r="26" spans="1:11" x14ac:dyDescent="0.35">
      <c r="A26" s="11" t="s">
        <v>34</v>
      </c>
      <c r="B26" s="12"/>
      <c r="C26" s="12"/>
      <c r="D26" s="12"/>
      <c r="G26" s="81" t="e">
        <f>Summary!#REF!+Summary!#REF!</f>
        <v>#REF!</v>
      </c>
      <c r="I26">
        <v>25503.960619756665</v>
      </c>
      <c r="K26" s="82" t="e">
        <f t="shared" ref="K26:K28" si="3">G26-I26</f>
        <v>#REF!</v>
      </c>
    </row>
    <row r="27" spans="1:11" x14ac:dyDescent="0.35">
      <c r="A27" s="11"/>
      <c r="B27" s="12" t="s">
        <v>25</v>
      </c>
      <c r="C27" s="12"/>
      <c r="D27" s="12"/>
      <c r="G27" s="81" t="e">
        <f>Summary!#REF!+Summary!#REF!</f>
        <v>#REF!</v>
      </c>
      <c r="I27">
        <v>21777.405503090002</v>
      </c>
      <c r="K27" s="82" t="e">
        <f t="shared" si="3"/>
        <v>#REF!</v>
      </c>
    </row>
    <row r="28" spans="1:11" x14ac:dyDescent="0.35">
      <c r="A28" s="12"/>
      <c r="B28" s="12" t="s">
        <v>26</v>
      </c>
      <c r="C28" s="12"/>
      <c r="D28" s="12"/>
      <c r="G28" s="81" t="e">
        <f>Summary!#REF!+Summary!#REF!</f>
        <v>#REF!</v>
      </c>
      <c r="I28">
        <v>3726.5551166666633</v>
      </c>
      <c r="K28" s="82" t="e">
        <f t="shared" si="3"/>
        <v>#REF!</v>
      </c>
    </row>
    <row r="29" spans="1:11" x14ac:dyDescent="0.35">
      <c r="A29" s="12"/>
      <c r="B29" s="12"/>
      <c r="C29" s="12"/>
      <c r="D29" s="12"/>
    </row>
    <row r="30" spans="1:11" ht="15.5" x14ac:dyDescent="0.35">
      <c r="A30" s="26" t="s">
        <v>75</v>
      </c>
      <c r="B30" s="27"/>
      <c r="C30" s="12"/>
      <c r="D30" s="12"/>
      <c r="G30" s="81" t="e">
        <f>Summary!#REF!+Summary!#REF!</f>
        <v>#REF!</v>
      </c>
      <c r="I30">
        <v>18.2</v>
      </c>
      <c r="K30" s="82" t="e">
        <f t="shared" ref="K30:K31" si="4">G30-I30</f>
        <v>#REF!</v>
      </c>
    </row>
    <row r="31" spans="1:11" ht="15.5" x14ac:dyDescent="0.35">
      <c r="A31" s="26" t="s">
        <v>76</v>
      </c>
      <c r="B31" s="27"/>
      <c r="C31" s="12"/>
      <c r="D31" s="12"/>
      <c r="G31" s="81" t="e">
        <f>Summary!#REF!+Summary!#REF!</f>
        <v>#REF!</v>
      </c>
      <c r="I31">
        <v>0</v>
      </c>
      <c r="K31" s="82" t="e">
        <f t="shared" si="4"/>
        <v>#REF!</v>
      </c>
    </row>
    <row r="32" spans="1:11" ht="15.5" x14ac:dyDescent="0.35">
      <c r="A32" s="26"/>
      <c r="B32" s="27"/>
      <c r="C32" s="12"/>
      <c r="D32" s="12"/>
    </row>
    <row r="33" spans="1:11" x14ac:dyDescent="0.35">
      <c r="A33" s="11" t="s">
        <v>31</v>
      </c>
      <c r="B33" s="12"/>
      <c r="C33" s="12"/>
      <c r="D33" s="12"/>
      <c r="G33" s="81" t="e">
        <f>Summary!#REF!+Summary!#REF!</f>
        <v>#REF!</v>
      </c>
      <c r="I33">
        <v>11693.127649603321</v>
      </c>
      <c r="K33" s="82" t="e">
        <f t="shared" ref="K33:K35" si="5">G33-I33</f>
        <v>#REF!</v>
      </c>
    </row>
    <row r="34" spans="1:11" x14ac:dyDescent="0.35">
      <c r="A34" s="12" t="s">
        <v>32</v>
      </c>
      <c r="B34" s="12" t="s">
        <v>25</v>
      </c>
      <c r="C34" s="12"/>
      <c r="D34" s="12"/>
      <c r="G34" s="81" t="e">
        <f>Summary!#REF!+Summary!#REF!</f>
        <v>#REF!</v>
      </c>
      <c r="I34">
        <v>4338.6477440744402</v>
      </c>
      <c r="K34" s="82" t="e">
        <f t="shared" si="5"/>
        <v>#REF!</v>
      </c>
    </row>
    <row r="35" spans="1:11" x14ac:dyDescent="0.35">
      <c r="A35" s="12" t="s">
        <v>33</v>
      </c>
      <c r="B35" s="12" t="s">
        <v>26</v>
      </c>
      <c r="C35" s="12"/>
      <c r="D35" s="12"/>
      <c r="G35" s="81" t="e">
        <f>Summary!#REF!+Summary!#REF!</f>
        <v>#REF!</v>
      </c>
      <c r="I35">
        <v>7354.4799055288804</v>
      </c>
      <c r="K35" s="82" t="e">
        <f t="shared" si="5"/>
        <v>#REF!</v>
      </c>
    </row>
    <row r="37" spans="1:11" x14ac:dyDescent="0.35">
      <c r="A37" s="21" t="s">
        <v>74</v>
      </c>
      <c r="B37" s="21"/>
      <c r="C37" s="21"/>
      <c r="D37" s="21"/>
      <c r="G37" s="81" t="e">
        <f>Summary!#REF!+Summary!#REF!</f>
        <v>#REF!</v>
      </c>
      <c r="I37">
        <v>-20614.263177482007</v>
      </c>
      <c r="K37" s="82" t="e">
        <f t="shared" ref="K37:K38" si="6">G37-I37</f>
        <v>#REF!</v>
      </c>
    </row>
    <row r="38" spans="1:11" x14ac:dyDescent="0.35">
      <c r="A38" s="49" t="s">
        <v>30</v>
      </c>
      <c r="B38" s="49"/>
      <c r="C38" s="49"/>
      <c r="D38" s="49"/>
      <c r="G38" s="81">
        <f>Summary!G29+Summary!H29</f>
        <v>19843.439108262435</v>
      </c>
      <c r="I38">
        <v>-10220.610589965589</v>
      </c>
      <c r="K38" s="82">
        <f t="shared" si="6"/>
        <v>30064.049698228024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 (adjusted 1)</vt:lpstr>
      <vt:lpstr>Summary</vt:lpstr>
      <vt:lpstr>Revenue Details</vt:lpstr>
      <vt:lpstr>Summary (3)</vt:lpstr>
      <vt:lpstr>Summary (original)</vt:lpstr>
      <vt:lpstr>Sheet4</vt:lpstr>
      <vt:lpstr>Sheet1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darlene.morrison</dc:creator>
  <cp:lastModifiedBy>Suzell Wray</cp:lastModifiedBy>
  <cp:lastPrinted>2026-06-05T14:32:41Z</cp:lastPrinted>
  <dcterms:created xsi:type="dcterms:W3CDTF">2017-05-29T23:32:50Z</dcterms:created>
  <dcterms:modified xsi:type="dcterms:W3CDTF">2026-06-17T13:39:47Z</dcterms:modified>
</cp:coreProperties>
</file>