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1A684347-E3AE-493A-A5B1-09BACC5E57A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B13" i="2" l="1"/>
  <c r="EB18" i="2"/>
  <c r="EB24" i="2"/>
  <c r="EB30" i="2"/>
  <c r="EB12" i="2" l="1"/>
  <c r="EB23" i="2"/>
  <c r="EB11" i="2" l="1"/>
  <c r="EA13" i="2" l="1"/>
  <c r="EA18" i="2"/>
  <c r="EA24" i="2"/>
  <c r="EA30" i="2"/>
  <c r="EA23" i="2" l="1"/>
  <c r="EA12" i="2"/>
  <c r="EA11" i="2" l="1"/>
  <c r="DZ30" i="2" l="1"/>
  <c r="DZ24" i="2"/>
  <c r="DZ18" i="2"/>
  <c r="DZ13" i="2"/>
  <c r="DZ12" i="2" l="1"/>
  <c r="DZ23" i="2"/>
  <c r="DZ11" i="2" s="1"/>
  <c r="DY13" i="2" l="1"/>
  <c r="DY18" i="2"/>
  <c r="DY24" i="2"/>
  <c r="DY30" i="2"/>
  <c r="DX30" i="2"/>
  <c r="DX24" i="2"/>
  <c r="DX18" i="2"/>
  <c r="DX13" i="2"/>
  <c r="DW30" i="2"/>
  <c r="DW24" i="2"/>
  <c r="DW18" i="2"/>
  <c r="DW13" i="2"/>
  <c r="DW12" i="2" s="1"/>
  <c r="DV30" i="2"/>
  <c r="DV24" i="2"/>
  <c r="DV18" i="2"/>
  <c r="DV13" i="2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L24" i="2" s="1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H24" i="2" s="1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R24" i="2" s="1"/>
  <c r="Q25" i="2"/>
  <c r="Q24" i="2" s="1"/>
  <c r="P25" i="2"/>
  <c r="P31" i="2" s="1"/>
  <c r="O25" i="2"/>
  <c r="O31" i="2" s="1"/>
  <c r="N25" i="2"/>
  <c r="N31" i="2" s="1"/>
  <c r="M25" i="2"/>
  <c r="M31" i="2" s="1"/>
  <c r="L25" i="2"/>
  <c r="L31" i="2" s="1"/>
  <c r="K25" i="2"/>
  <c r="K31" i="2" s="1"/>
  <c r="J25" i="2"/>
  <c r="I25" i="2"/>
  <c r="I31" i="2" s="1"/>
  <c r="H25" i="2"/>
  <c r="H31" i="2" s="1"/>
  <c r="G25" i="2"/>
  <c r="G31" i="2" s="1"/>
  <c r="F25" i="2"/>
  <c r="F31" i="2" s="1"/>
  <c r="E25" i="2"/>
  <c r="E31" i="2" s="1"/>
  <c r="D25" i="2"/>
  <c r="D31" i="2" s="1"/>
  <c r="D30" i="2" s="1"/>
  <c r="DU24" i="2"/>
  <c r="DT24" i="2"/>
  <c r="DS24" i="2"/>
  <c r="DR24" i="2"/>
  <c r="DQ24" i="2"/>
  <c r="DP24" i="2"/>
  <c r="DO24" i="2"/>
  <c r="DN24" i="2"/>
  <c r="DM24" i="2"/>
  <c r="DL24" i="2"/>
  <c r="DL23" i="2" s="1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V23" i="2" s="1"/>
  <c r="CU24" i="2"/>
  <c r="CU23" i="2" s="1"/>
  <c r="CT24" i="2"/>
  <c r="CS24" i="2"/>
  <c r="CS23" i="2" s="1"/>
  <c r="CR24" i="2"/>
  <c r="CQ24" i="2"/>
  <c r="CP24" i="2"/>
  <c r="CO24" i="2"/>
  <c r="CN24" i="2"/>
  <c r="CM24" i="2"/>
  <c r="CM23" i="2" s="1"/>
  <c r="CL24" i="2"/>
  <c r="CK24" i="2"/>
  <c r="CK23" i="2" s="1"/>
  <c r="CJ24" i="2"/>
  <c r="CI24" i="2"/>
  <c r="CH24" i="2"/>
  <c r="CG24" i="2"/>
  <c r="CG23" i="2" s="1"/>
  <c r="CF24" i="2"/>
  <c r="CF23" i="2" s="1"/>
  <c r="CE24" i="2"/>
  <c r="CE23" i="2" s="1"/>
  <c r="CD24" i="2"/>
  <c r="CC24" i="2"/>
  <c r="CB24" i="2"/>
  <c r="CA24" i="2"/>
  <c r="BZ24" i="2"/>
  <c r="BY24" i="2"/>
  <c r="BX24" i="2"/>
  <c r="BX23" i="2" s="1"/>
  <c r="BW24" i="2"/>
  <c r="BW23" i="2" s="1"/>
  <c r="BV24" i="2"/>
  <c r="BU24" i="2"/>
  <c r="BU23" i="2" s="1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H23" i="2" s="1"/>
  <c r="BG24" i="2"/>
  <c r="BG23" i="2" s="1"/>
  <c r="BF24" i="2"/>
  <c r="BE24" i="2"/>
  <c r="BE23" i="2" s="1"/>
  <c r="BD24" i="2"/>
  <c r="BC24" i="2"/>
  <c r="BB24" i="2"/>
  <c r="BA24" i="2"/>
  <c r="AZ24" i="2"/>
  <c r="AY24" i="2"/>
  <c r="AX24" i="2"/>
  <c r="AW24" i="2"/>
  <c r="AW23" i="2" s="1"/>
  <c r="AV24" i="2"/>
  <c r="AU24" i="2"/>
  <c r="AT24" i="2"/>
  <c r="AS24" i="2"/>
  <c r="AQ24" i="2"/>
  <c r="AQ23" i="2" s="1"/>
  <c r="AP24" i="2"/>
  <c r="AP23" i="2" s="1"/>
  <c r="CJ23" i="2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F20" i="2"/>
  <c r="AE20" i="2"/>
  <c r="AD20" i="2"/>
  <c r="W20" i="2"/>
  <c r="V20" i="2"/>
  <c r="U20" i="2"/>
  <c r="U18" i="2" s="1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C18" i="2" s="1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DU13" i="2"/>
  <c r="DT13" i="2"/>
  <c r="DS13" i="2"/>
  <c r="DR13" i="2"/>
  <c r="DQ13" i="2"/>
  <c r="DP13" i="2"/>
  <c r="DO13" i="2"/>
  <c r="DO12" i="2" s="1"/>
  <c r="DN13" i="2"/>
  <c r="DM13" i="2"/>
  <c r="DL13" i="2"/>
  <c r="DK13" i="2"/>
  <c r="DJ13" i="2"/>
  <c r="DI13" i="2"/>
  <c r="DH13" i="2"/>
  <c r="DG13" i="2"/>
  <c r="DG12" i="2" s="1"/>
  <c r="DF13" i="2"/>
  <c r="DE13" i="2"/>
  <c r="DD13" i="2"/>
  <c r="DC13" i="2"/>
  <c r="DB13" i="2"/>
  <c r="DA13" i="2"/>
  <c r="CZ13" i="2"/>
  <c r="CY13" i="2"/>
  <c r="CY12" i="2" s="1"/>
  <c r="CX13" i="2"/>
  <c r="CW13" i="2"/>
  <c r="CV13" i="2"/>
  <c r="CU13" i="2"/>
  <c r="CT13" i="2"/>
  <c r="CS13" i="2"/>
  <c r="CR13" i="2"/>
  <c r="CR12" i="2" s="1"/>
  <c r="CQ13" i="2"/>
  <c r="CQ12" i="2" s="1"/>
  <c r="CP13" i="2"/>
  <c r="CO13" i="2"/>
  <c r="CN13" i="2"/>
  <c r="CM13" i="2"/>
  <c r="CL13" i="2"/>
  <c r="CK13" i="2"/>
  <c r="CK12" i="2" s="1"/>
  <c r="CJ13" i="2"/>
  <c r="CI13" i="2"/>
  <c r="CI12" i="2" s="1"/>
  <c r="CH13" i="2"/>
  <c r="CG13" i="2"/>
  <c r="CF13" i="2"/>
  <c r="CE13" i="2"/>
  <c r="CD13" i="2"/>
  <c r="CC13" i="2"/>
  <c r="CB13" i="2"/>
  <c r="CB12" i="2" s="1"/>
  <c r="CA13" i="2"/>
  <c r="CA12" i="2" s="1"/>
  <c r="BZ13" i="2"/>
  <c r="BY13" i="2"/>
  <c r="BX13" i="2"/>
  <c r="BW13" i="2"/>
  <c r="BV13" i="2"/>
  <c r="BU13" i="2"/>
  <c r="BT13" i="2"/>
  <c r="BS13" i="2"/>
  <c r="BS12" i="2" s="1"/>
  <c r="BR13" i="2"/>
  <c r="BQ13" i="2"/>
  <c r="BP13" i="2"/>
  <c r="BO13" i="2"/>
  <c r="BN13" i="2"/>
  <c r="BM13" i="2"/>
  <c r="BL13" i="2"/>
  <c r="BK13" i="2"/>
  <c r="BK12" i="2" s="1"/>
  <c r="BJ13" i="2"/>
  <c r="BI13" i="2"/>
  <c r="BH13" i="2"/>
  <c r="BG13" i="2"/>
  <c r="BF13" i="2"/>
  <c r="BE13" i="2"/>
  <c r="BD13" i="2"/>
  <c r="BC13" i="2"/>
  <c r="BC12" i="2" s="1"/>
  <c r="BB13" i="2"/>
  <c r="BA13" i="2"/>
  <c r="AZ13" i="2"/>
  <c r="AY13" i="2"/>
  <c r="AX13" i="2"/>
  <c r="AX12" i="2" s="1"/>
  <c r="AW13" i="2"/>
  <c r="AW12" i="2" s="1"/>
  <c r="AV13" i="2"/>
  <c r="AU13" i="2"/>
  <c r="AU12" i="2" s="1"/>
  <c r="AT13" i="2"/>
  <c r="AS13" i="2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6" i="2"/>
  <c r="C5" i="2"/>
  <c r="H30" i="2" l="1"/>
  <c r="I30" i="2"/>
  <c r="AD24" i="2"/>
  <c r="DK23" i="2"/>
  <c r="N24" i="2"/>
  <c r="J24" i="2"/>
  <c r="AG18" i="2"/>
  <c r="DA23" i="2"/>
  <c r="BI12" i="2"/>
  <c r="AY23" i="2"/>
  <c r="BM23" i="2"/>
  <c r="DC23" i="2"/>
  <c r="AZ23" i="2"/>
  <c r="DD23" i="2"/>
  <c r="F24" i="2"/>
  <c r="L30" i="2"/>
  <c r="BA23" i="2"/>
  <c r="BO23" i="2"/>
  <c r="CC23" i="2"/>
  <c r="DS23" i="2"/>
  <c r="DV12" i="2"/>
  <c r="CN23" i="2"/>
  <c r="BP23" i="2"/>
  <c r="BP11" i="2" s="1"/>
  <c r="DT23" i="2"/>
  <c r="V24" i="2"/>
  <c r="AC12" i="2"/>
  <c r="AS12" i="2"/>
  <c r="BA12" i="2"/>
  <c r="BA11" i="2" s="1"/>
  <c r="BQ12" i="2"/>
  <c r="BY12" i="2"/>
  <c r="DX12" i="2"/>
  <c r="P30" i="2"/>
  <c r="CC12" i="2"/>
  <c r="CS12" i="2"/>
  <c r="DA12" i="2"/>
  <c r="DI12" i="2"/>
  <c r="DY23" i="2"/>
  <c r="BV12" i="2"/>
  <c r="K18" i="2"/>
  <c r="K12" i="2" s="1"/>
  <c r="BM12" i="2"/>
  <c r="BM11" i="2" s="1"/>
  <c r="CG12" i="2"/>
  <c r="CG11" i="2" s="1"/>
  <c r="CO12" i="2"/>
  <c r="CW12" i="2"/>
  <c r="DE12" i="2"/>
  <c r="DM12" i="2"/>
  <c r="DU12" i="2"/>
  <c r="DY12" i="2"/>
  <c r="DX23" i="2"/>
  <c r="DW23" i="2"/>
  <c r="DW11" i="2" s="1"/>
  <c r="DV23" i="2"/>
  <c r="DV11" i="2" s="1"/>
  <c r="AV23" i="2"/>
  <c r="BD23" i="2"/>
  <c r="BT23" i="2"/>
  <c r="CR23" i="2"/>
  <c r="CR11" i="2" s="1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V12" i="2" s="1"/>
  <c r="G18" i="2"/>
  <c r="G12" i="2" s="1"/>
  <c r="W18" i="2"/>
  <c r="W12" i="2" s="1"/>
  <c r="AE18" i="2"/>
  <c r="AE12" i="2" s="1"/>
  <c r="AM18" i="2"/>
  <c r="AM12" i="2" s="1"/>
  <c r="S18" i="2"/>
  <c r="S12" i="2" s="1"/>
  <c r="P18" i="2"/>
  <c r="F18" i="2"/>
  <c r="F12" i="2" s="1"/>
  <c r="AG12" i="2"/>
  <c r="CD12" i="2"/>
  <c r="DB12" i="2"/>
  <c r="DR12" i="2"/>
  <c r="N18" i="2"/>
  <c r="N12" i="2" s="1"/>
  <c r="I18" i="2"/>
  <c r="I12" i="2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DJ12" i="2"/>
  <c r="U12" i="2"/>
  <c r="AQ12" i="2"/>
  <c r="AQ11" i="2" s="1"/>
  <c r="AZ12" i="2"/>
  <c r="BH12" i="2"/>
  <c r="BH11" i="2" s="1"/>
  <c r="BP12" i="2"/>
  <c r="BX12" i="2"/>
  <c r="CF12" i="2"/>
  <c r="CF11" i="2" s="1"/>
  <c r="CN12" i="2"/>
  <c r="CV12" i="2"/>
  <c r="CV11" i="2" s="1"/>
  <c r="DD12" i="2"/>
  <c r="DL12" i="2"/>
  <c r="DL11" i="2" s="1"/>
  <c r="DT12" i="2"/>
  <c r="AU23" i="2"/>
  <c r="AU11" i="2" s="1"/>
  <c r="BC23" i="2"/>
  <c r="BC11" i="2" s="1"/>
  <c r="BK23" i="2"/>
  <c r="BK11" i="2" s="1"/>
  <c r="BS23" i="2"/>
  <c r="BS11" i="2" s="1"/>
  <c r="CA23" i="2"/>
  <c r="CA11" i="2" s="1"/>
  <c r="CI23" i="2"/>
  <c r="CI11" i="2" s="1"/>
  <c r="CQ23" i="2"/>
  <c r="CQ11" i="2" s="1"/>
  <c r="CY23" i="2"/>
  <c r="CY11" i="2" s="1"/>
  <c r="DG23" i="2"/>
  <c r="DO23" i="2"/>
  <c r="M30" i="2"/>
  <c r="DQ12" i="2"/>
  <c r="BN12" i="2"/>
  <c r="BL23" i="2"/>
  <c r="CB23" i="2"/>
  <c r="CB11" i="2" s="1"/>
  <c r="BE12" i="2"/>
  <c r="AA12" i="2"/>
  <c r="AT12" i="2"/>
  <c r="AT11" i="2" s="1"/>
  <c r="BB12" i="2"/>
  <c r="BB11" i="2" s="1"/>
  <c r="BJ12" i="2"/>
  <c r="BR12" i="2"/>
  <c r="BZ12" i="2"/>
  <c r="BZ11" i="2" s="1"/>
  <c r="CH12" i="2"/>
  <c r="CH11" i="2" s="1"/>
  <c r="CP12" i="2"/>
  <c r="CX12" i="2"/>
  <c r="CX11" i="2" s="1"/>
  <c r="DF12" i="2"/>
  <c r="DN12" i="2"/>
  <c r="H18" i="2"/>
  <c r="AW11" i="2"/>
  <c r="CC11" i="2"/>
  <c r="CS11" i="2"/>
  <c r="DA11" i="2"/>
  <c r="AZ11" i="2"/>
  <c r="BU12" i="2"/>
  <c r="BU11" i="2" s="1"/>
  <c r="AV12" i="2"/>
  <c r="BD12" i="2"/>
  <c r="BL12" i="2"/>
  <c r="BT12" i="2"/>
  <c r="CJ12" i="2"/>
  <c r="CJ11" i="2" s="1"/>
  <c r="CZ12" i="2"/>
  <c r="DH12" i="2"/>
  <c r="DP12" i="2"/>
  <c r="AF18" i="2"/>
  <c r="AF12" i="2" s="1"/>
  <c r="O18" i="2"/>
  <c r="O12" i="2" s="1"/>
  <c r="Y30" i="2"/>
  <c r="AG30" i="2"/>
  <c r="J31" i="2"/>
  <c r="J30" i="2" s="1"/>
  <c r="J23" i="2" s="1"/>
  <c r="E30" i="2"/>
  <c r="U30" i="2"/>
  <c r="AC30" i="2"/>
  <c r="U24" i="2"/>
  <c r="DI23" i="2"/>
  <c r="DQ23" i="2"/>
  <c r="AL32" i="2"/>
  <c r="AB12" i="2"/>
  <c r="AG24" i="2"/>
  <c r="AX23" i="2"/>
  <c r="AX11" i="2" s="1"/>
  <c r="BF23" i="2"/>
  <c r="BN23" i="2"/>
  <c r="BV23" i="2"/>
  <c r="CD23" i="2"/>
  <c r="CL23" i="2"/>
  <c r="CL11" i="2" s="1"/>
  <c r="CT23" i="2"/>
  <c r="DB23" i="2"/>
  <c r="DJ23" i="2"/>
  <c r="DR23" i="2"/>
  <c r="AF30" i="2"/>
  <c r="AL34" i="2"/>
  <c r="AL30" i="2" s="1"/>
  <c r="AL23" i="2" s="1"/>
  <c r="BE11" i="2"/>
  <c r="D18" i="2"/>
  <c r="D12" i="2" s="1"/>
  <c r="L18" i="2"/>
  <c r="L12" i="2" s="1"/>
  <c r="T18" i="2"/>
  <c r="T12" i="2" s="1"/>
  <c r="AD18" i="2"/>
  <c r="AD12" i="2" s="1"/>
  <c r="E24" i="2"/>
  <c r="Z30" i="2"/>
  <c r="AL18" i="2"/>
  <c r="AL12" i="2" s="1"/>
  <c r="Y24" i="2"/>
  <c r="CK11" i="2"/>
  <c r="AP12" i="2"/>
  <c r="AP11" i="2" s="1"/>
  <c r="AY12" i="2"/>
  <c r="AY11" i="2" s="1"/>
  <c r="BG12" i="2"/>
  <c r="BG11" i="2" s="1"/>
  <c r="BO12" i="2"/>
  <c r="BO11" i="2" s="1"/>
  <c r="CE12" i="2"/>
  <c r="CE11" i="2" s="1"/>
  <c r="CM12" i="2"/>
  <c r="CM11" i="2" s="1"/>
  <c r="CU12" i="2"/>
  <c r="CU11" i="2" s="1"/>
  <c r="DC12" i="2"/>
  <c r="DS12" i="2"/>
  <c r="DS11" i="2" s="1"/>
  <c r="J18" i="2"/>
  <c r="J12" i="2" s="1"/>
  <c r="R18" i="2"/>
  <c r="R12" i="2" s="1"/>
  <c r="Z12" i="2"/>
  <c r="I24" i="2"/>
  <c r="I23" i="2" s="1"/>
  <c r="AS23" i="2"/>
  <c r="BI23" i="2"/>
  <c r="BI11" i="2" s="1"/>
  <c r="BQ23" i="2"/>
  <c r="BQ11" i="2" s="1"/>
  <c r="BY23" i="2"/>
  <c r="BY11" i="2" s="1"/>
  <c r="CO23" i="2"/>
  <c r="CW23" i="2"/>
  <c r="CW11" i="2" s="1"/>
  <c r="DE23" i="2"/>
  <c r="DE11" i="2" s="1"/>
  <c r="DM23" i="2"/>
  <c r="DM11" i="2" s="1"/>
  <c r="DU23" i="2"/>
  <c r="DU11" i="2" s="1"/>
  <c r="K30" i="2"/>
  <c r="S30" i="2"/>
  <c r="AA30" i="2"/>
  <c r="X30" i="2"/>
  <c r="CT11" i="2"/>
  <c r="P12" i="2"/>
  <c r="BW12" i="2"/>
  <c r="BW11" i="2" s="1"/>
  <c r="DK12" i="2"/>
  <c r="DK11" i="2" s="1"/>
  <c r="M24" i="2"/>
  <c r="T30" i="2"/>
  <c r="DP23" i="2"/>
  <c r="DG11" i="2"/>
  <c r="DO11" i="2"/>
  <c r="Z24" i="2"/>
  <c r="AB30" i="2"/>
  <c r="AH31" i="2"/>
  <c r="AH30" i="2" s="1"/>
  <c r="AH23" i="2" s="1"/>
  <c r="W24" i="2"/>
  <c r="W32" i="2"/>
  <c r="W30" i="2" s="1"/>
  <c r="AK35" i="2"/>
  <c r="AK24" i="2"/>
  <c r="K24" i="2"/>
  <c r="K23" i="2" s="1"/>
  <c r="K11" i="2" s="1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H12" i="2"/>
  <c r="X12" i="2"/>
  <c r="R31" i="2"/>
  <c r="R30" i="2" s="1"/>
  <c r="R23" i="2" s="1"/>
  <c r="F32" i="2"/>
  <c r="F30" i="2" s="1"/>
  <c r="F23" i="2" s="1"/>
  <c r="BX11" i="2"/>
  <c r="DD11" i="2"/>
  <c r="AH18" i="2"/>
  <c r="AH12" i="2" s="1"/>
  <c r="AJ18" i="2"/>
  <c r="AJ12" i="2" s="1"/>
  <c r="AI24" i="2"/>
  <c r="AD32" i="2"/>
  <c r="AD30" i="2" s="1"/>
  <c r="AD23" i="2" s="1"/>
  <c r="AM24" i="2"/>
  <c r="AM32" i="2"/>
  <c r="AM30" i="2" s="1"/>
  <c r="S24" i="2"/>
  <c r="AJ34" i="2"/>
  <c r="AJ35" i="2"/>
  <c r="N32" i="2"/>
  <c r="N30" i="2" s="1"/>
  <c r="N23" i="2" s="1"/>
  <c r="D24" i="2"/>
  <c r="D23" i="2" s="1"/>
  <c r="L24" i="2"/>
  <c r="L23" i="2" s="1"/>
  <c r="T24" i="2"/>
  <c r="AB24" i="2"/>
  <c r="AJ24" i="2"/>
  <c r="AC24" i="2"/>
  <c r="H24" i="2"/>
  <c r="H23" i="2" s="1"/>
  <c r="P24" i="2"/>
  <c r="P23" i="2" s="1"/>
  <c r="X24" i="2"/>
  <c r="AF24" i="2"/>
  <c r="AS11" i="2" l="1"/>
  <c r="N11" i="2"/>
  <c r="I11" i="2"/>
  <c r="Y23" i="2"/>
  <c r="Y11" i="2" s="1"/>
  <c r="DT11" i="2"/>
  <c r="DR11" i="2"/>
  <c r="DI11" i="2"/>
  <c r="CZ11" i="2"/>
  <c r="DN11" i="2"/>
  <c r="DF11" i="2"/>
  <c r="DC11" i="2"/>
  <c r="BL11" i="2"/>
  <c r="CP11" i="2"/>
  <c r="CN11" i="2"/>
  <c r="AV11" i="2"/>
  <c r="CO11" i="2"/>
  <c r="BV11" i="2"/>
  <c r="BR11" i="2"/>
  <c r="DX11" i="2"/>
  <c r="J11" i="2"/>
  <c r="BJ11" i="2"/>
  <c r="DY11" i="2"/>
  <c r="DB11" i="2"/>
  <c r="AG23" i="2"/>
  <c r="AG11" i="2" s="1"/>
  <c r="BD11" i="2"/>
  <c r="BN11" i="2"/>
  <c r="Z23" i="2"/>
  <c r="Z11" i="2" s="1"/>
  <c r="Q11" i="2"/>
  <c r="F11" i="2"/>
  <c r="DH11" i="2"/>
  <c r="H11" i="2"/>
  <c r="V11" i="2"/>
  <c r="CD11" i="2"/>
  <c r="AL11" i="2"/>
  <c r="BT11" i="2"/>
  <c r="AB23" i="2"/>
  <c r="AB11" i="2" s="1"/>
  <c r="BF11" i="2"/>
  <c r="DQ11" i="2"/>
  <c r="DJ11" i="2"/>
  <c r="L11" i="2"/>
  <c r="P11" i="2"/>
  <c r="DP11" i="2"/>
  <c r="X23" i="2"/>
  <c r="X11" i="2" s="1"/>
  <c r="M23" i="2"/>
  <c r="M11" i="2" s="1"/>
  <c r="AD11" i="2"/>
  <c r="R11" i="2"/>
  <c r="AF23" i="2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F11" i="2"/>
  <c r="AE23" i="2"/>
  <c r="AE11" i="2" s="1"/>
  <c r="AH11" i="2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<sst xmlns="http://schemas.openxmlformats.org/spreadsheetml/2006/main" count="222" uniqueCount="213">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</sst>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  <numFmt numFmtId="171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26" applyNumberFormat="0" applyAlignment="0" applyProtection="0"/>
    <xf numFmtId="0" fontId="31" fillId="6" borderId="27" applyNumberFormat="0" applyAlignment="0" applyProtection="0"/>
    <xf numFmtId="0" fontId="32" fillId="6" borderId="26" applyNumberFormat="0" applyAlignment="0" applyProtection="0"/>
    <xf numFmtId="0" fontId="33" fillId="0" borderId="28" applyNumberFormat="0" applyFill="0" applyAlignment="0" applyProtection="0"/>
    <xf numFmtId="0" fontId="34" fillId="7" borderId="2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6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6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3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3" fontId="13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4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4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43" fontId="10" fillId="0" borderId="0" xfId="2" applyFont="1" applyFill="1"/>
    <xf numFmtId="168" fontId="0" fillId="0" borderId="0" xfId="2" applyNumberFormat="1" applyFont="1" applyFill="1" applyBorder="1"/>
    <xf numFmtId="43" fontId="17" fillId="0" borderId="0" xfId="2" applyFont="1" applyFill="1"/>
    <xf numFmtId="43" fontId="17" fillId="0" borderId="0" xfId="2" applyFont="1" applyFill="1" applyBorder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171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8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5" fillId="0" borderId="0" xfId="0" applyNumberFormat="1" applyFont="1"/>
    <xf numFmtId="4" fontId="15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4" fillId="0" borderId="0" xfId="0" applyNumberFormat="1" applyFont="1"/>
    <xf numFmtId="168" fontId="10" fillId="0" borderId="0" xfId="0" applyNumberFormat="1" applyFont="1"/>
    <xf numFmtId="2" fontId="14" fillId="0" borderId="0" xfId="0" applyNumberFormat="1" applyFont="1"/>
    <xf numFmtId="4" fontId="16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4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3" fontId="10" fillId="0" borderId="0" xfId="0" applyNumberFormat="1" applyFont="1"/>
    <xf numFmtId="4" fontId="2" fillId="0" borderId="21" xfId="0" applyNumberFormat="1" applyFont="1" applyBorder="1"/>
    <xf numFmtId="4" fontId="41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EB36"/>
  <sheetViews>
    <sheetView tabSelected="1" topLeftCell="B2" zoomScale="80" zoomScaleNormal="80" workbookViewId="0">
      <pane xSplit="84" ySplit="8" topLeftCell="DU10" activePane="bottomRight" state="frozen"/>
      <selection activeCell="B2" sqref="B2"/>
      <selection pane="topRight" activeCell="CH2" sqref="CH2"/>
      <selection pane="bottomLeft" activeCell="B10" sqref="B10"/>
      <selection pane="bottomRight" activeCell="DX23" sqref="DX23"/>
    </sheetView>
  </sheetViews>
  <sheetFormatPr defaultRowHeight="14.5" x14ac:dyDescent="0.35"/>
  <cols>
    <col min="1" max="1" width="20.26953125" hidden="1" customWidth="1"/>
    <col min="2" max="2" width="28.54296875" customWidth="1"/>
    <col min="3" max="3" width="19.7265625" bestFit="1" customWidth="1"/>
    <col min="4" max="11" width="11.453125" hidden="1" customWidth="1"/>
    <col min="12" max="13" width="11.7265625" hidden="1" customWidth="1"/>
    <col min="14" max="16" width="12.453125" hidden="1" customWidth="1"/>
    <col min="17" max="18" width="11.7265625" hidden="1" customWidth="1"/>
    <col min="19" max="19" width="11.54296875" hidden="1" customWidth="1"/>
    <col min="20" max="20" width="11.7265625" hidden="1" customWidth="1"/>
    <col min="21" max="21" width="12.54296875" hidden="1" customWidth="1"/>
    <col min="22" max="28" width="13.26953125" hidden="1" customWidth="1"/>
    <col min="29" max="29" width="13.26953125" style="23" hidden="1" customWidth="1"/>
    <col min="30" max="32" width="13.26953125" hidden="1" customWidth="1"/>
    <col min="33" max="34" width="13.453125" hidden="1" customWidth="1"/>
    <col min="35" max="35" width="12.54296875" hidden="1" customWidth="1"/>
    <col min="36" max="36" width="13.26953125" hidden="1" customWidth="1"/>
    <col min="37" max="37" width="13.453125" hidden="1" customWidth="1"/>
    <col min="38" max="39" width="13.26953125" hidden="1" customWidth="1"/>
    <col min="40" max="40" width="13.453125" hidden="1" customWidth="1"/>
    <col min="41" max="42" width="13.26953125" hidden="1" customWidth="1"/>
    <col min="43" max="43" width="13.453125" hidden="1" customWidth="1"/>
    <col min="44" max="44" width="14.7265625" style="8" hidden="1" customWidth="1"/>
    <col min="45" max="45" width="13.72656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6" hidden="1" customWidth="1"/>
    <col min="54" max="54" width="14.453125" hidden="1" customWidth="1"/>
    <col min="55" max="55" width="14" style="8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8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7265625" style="8" hidden="1" customWidth="1"/>
    <col min="65" max="65" width="13.453125" hidden="1" customWidth="1"/>
    <col min="66" max="66" width="14.26953125" style="8" hidden="1" customWidth="1"/>
    <col min="67" max="67" width="11.54296875" style="8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7265625" hidden="1" customWidth="1"/>
    <col min="75" max="75" width="12.54296875" style="8" hidden="1" customWidth="1"/>
    <col min="76" max="76" width="12.54296875" hidden="1" customWidth="1"/>
    <col min="77" max="77" width="12.7265625" hidden="1" customWidth="1"/>
    <col min="78" max="78" width="12.54296875" hidden="1" customWidth="1"/>
    <col min="79" max="79" width="12.54296875" style="21" hidden="1" customWidth="1"/>
    <col min="80" max="80" width="12.7265625" hidden="1" customWidth="1"/>
    <col min="81" max="81" width="16.453125" hidden="1" customWidth="1"/>
    <col min="82" max="82" width="12.54296875" hidden="1" customWidth="1"/>
    <col min="83" max="83" width="12.7265625" hidden="1" customWidth="1"/>
    <col min="84" max="85" width="13" hidden="1" customWidth="1"/>
    <col min="86" max="88" width="13.453125" hidden="1" customWidth="1"/>
    <col min="89" max="89" width="15.7265625" hidden="1" customWidth="1"/>
    <col min="90" max="90" width="13.453125" hidden="1" customWidth="1"/>
    <col min="91" max="91" width="15.26953125" hidden="1" customWidth="1"/>
    <col min="92" max="92" width="12.54296875" hidden="1" customWidth="1"/>
    <col min="93" max="93" width="12.7265625" hidden="1" customWidth="1"/>
    <col min="94" max="94" width="12.26953125" hidden="1" customWidth="1"/>
    <col min="95" max="95" width="12.54296875" hidden="1" customWidth="1"/>
    <col min="96" max="96" width="13.26953125" hidden="1" customWidth="1"/>
    <col min="97" max="97" width="13.26953125" customWidth="1"/>
    <col min="98" max="98" width="14.26953125" customWidth="1"/>
    <col min="99" max="99" width="13.26953125" bestFit="1" customWidth="1"/>
    <col min="100" max="100" width="13.54296875" customWidth="1"/>
    <col min="101" max="101" width="15.26953125" customWidth="1"/>
    <col min="102" max="102" width="16.26953125" bestFit="1" customWidth="1"/>
    <col min="103" max="105" width="14.7265625" customWidth="1"/>
    <col min="106" max="106" width="17.81640625" bestFit="1" customWidth="1"/>
    <col min="107" max="125" width="14.453125" bestFit="1" customWidth="1"/>
    <col min="126" max="128" width="13.81640625" bestFit="1" customWidth="1"/>
    <col min="129" max="131" width="15.26953125" customWidth="1"/>
    <col min="132" max="132" width="15" bestFit="1" customWidth="1"/>
  </cols>
  <sheetData>
    <row r="1" spans="1:132" ht="15" thickBot="1" x14ac:dyDescent="0.4"/>
    <row r="2" spans="1:132" x14ac:dyDescent="0.35">
      <c r="A2" s="24" t="s">
        <v>0</v>
      </c>
      <c r="B2" s="25" t="s">
        <v>1</v>
      </c>
      <c r="C2" s="26" t="s">
        <v>2</v>
      </c>
    </row>
    <row r="3" spans="1:132" x14ac:dyDescent="0.35">
      <c r="A3" s="27" t="s">
        <v>3</v>
      </c>
      <c r="B3" s="28" t="s">
        <v>4</v>
      </c>
      <c r="C3" s="29" t="s">
        <v>5</v>
      </c>
      <c r="AL3" s="8"/>
    </row>
    <row r="4" spans="1:132" ht="15" thickBot="1" x14ac:dyDescent="0.4">
      <c r="A4" s="27" t="s">
        <v>6</v>
      </c>
      <c r="B4" t="s">
        <v>7</v>
      </c>
      <c r="C4" s="29" t="s">
        <v>8</v>
      </c>
      <c r="AL4" s="8"/>
      <c r="AM4" s="8"/>
    </row>
    <row r="5" spans="1:132" x14ac:dyDescent="0.35">
      <c r="A5" s="24" t="s">
        <v>9</v>
      </c>
      <c r="B5" s="30">
        <v>6</v>
      </c>
      <c r="C5" s="31" t="str">
        <f>"Scale = "&amp;IF(B5=0,"Unit",(IF(B5=3,"Thousand",(IF(B5=6,"Million",(IF(B5=9,"Billion")))))))</f>
        <v>Scale = Million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AJ5" s="8"/>
      <c r="AL5" s="8"/>
      <c r="AM5" s="8"/>
    </row>
    <row r="6" spans="1:132" x14ac:dyDescent="0.35">
      <c r="A6" s="27" t="s">
        <v>10</v>
      </c>
      <c r="B6" t="s">
        <v>11</v>
      </c>
      <c r="C6" s="33" t="str">
        <f>"Frequency = "&amp;IF(B6="A","Annual",IF(B6="Q", "Quarterly", "Monthly"))</f>
        <v>Frequency = Monthly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AL6" s="8"/>
      <c r="AM6" s="8"/>
    </row>
    <row r="7" spans="1:132" ht="15" thickBot="1" x14ac:dyDescent="0.4">
      <c r="A7" s="34" t="s">
        <v>12</v>
      </c>
      <c r="B7" s="35" t="s">
        <v>13</v>
      </c>
      <c r="C7" s="36" t="s">
        <v>14</v>
      </c>
      <c r="AJ7" s="37"/>
      <c r="AL7" s="8"/>
      <c r="AM7" s="8"/>
      <c r="BM7" s="38"/>
      <c r="BW7" s="16"/>
    </row>
    <row r="8" spans="1:132" ht="15.5" x14ac:dyDescent="0.35">
      <c r="AM8" s="8"/>
      <c r="CA8" s="39"/>
    </row>
    <row r="9" spans="1:132" ht="15" thickBot="1" x14ac:dyDescent="0.4">
      <c r="AR9" s="1"/>
      <c r="BK9" s="8"/>
      <c r="BM9" s="8"/>
      <c r="BN9" s="38"/>
    </row>
    <row r="10" spans="1:132" ht="15" thickBot="1" x14ac:dyDescent="0.4">
      <c r="A10" s="40" t="s">
        <v>15</v>
      </c>
      <c r="B10" s="41" t="s">
        <v>16</v>
      </c>
      <c r="C10" s="41" t="s">
        <v>17</v>
      </c>
      <c r="D10" s="42" t="s">
        <v>91</v>
      </c>
      <c r="E10" s="43" t="s">
        <v>92</v>
      </c>
      <c r="F10" s="43" t="s">
        <v>93</v>
      </c>
      <c r="G10" s="43" t="s">
        <v>94</v>
      </c>
      <c r="H10" s="43" t="s">
        <v>95</v>
      </c>
      <c r="I10" s="43" t="s">
        <v>96</v>
      </c>
      <c r="J10" s="43" t="s">
        <v>97</v>
      </c>
      <c r="K10" s="43" t="s">
        <v>98</v>
      </c>
      <c r="L10" s="43" t="s">
        <v>99</v>
      </c>
      <c r="M10" s="43" t="s">
        <v>101</v>
      </c>
      <c r="N10" s="43" t="s">
        <v>102</v>
      </c>
      <c r="O10" s="44" t="s">
        <v>100</v>
      </c>
      <c r="P10" s="45" t="s">
        <v>18</v>
      </c>
      <c r="Q10" s="45" t="s">
        <v>19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24</v>
      </c>
      <c r="W10" s="45" t="s">
        <v>25</v>
      </c>
      <c r="X10" s="45" t="s">
        <v>90</v>
      </c>
      <c r="Y10" s="45" t="s">
        <v>103</v>
      </c>
      <c r="Z10" s="45" t="s">
        <v>104</v>
      </c>
      <c r="AA10" s="45" t="s">
        <v>105</v>
      </c>
      <c r="AB10" s="45" t="s">
        <v>106</v>
      </c>
      <c r="AC10" s="45" t="s">
        <v>107</v>
      </c>
      <c r="AD10" s="45" t="s">
        <v>108</v>
      </c>
      <c r="AE10" s="45" t="s">
        <v>109</v>
      </c>
      <c r="AF10" s="45" t="s">
        <v>110</v>
      </c>
      <c r="AG10" s="45" t="s">
        <v>113</v>
      </c>
      <c r="AH10" s="45" t="s">
        <v>114</v>
      </c>
      <c r="AI10" s="45" t="s">
        <v>115</v>
      </c>
      <c r="AJ10" s="45" t="s">
        <v>116</v>
      </c>
      <c r="AK10" s="45" t="s">
        <v>117</v>
      </c>
      <c r="AL10" s="45" t="s">
        <v>118</v>
      </c>
      <c r="AM10" s="45" t="s">
        <v>119</v>
      </c>
      <c r="AN10" s="45" t="s">
        <v>120</v>
      </c>
      <c r="AO10" s="45" t="s">
        <v>121</v>
      </c>
      <c r="AP10" s="45" t="s">
        <v>122</v>
      </c>
      <c r="AQ10" s="45" t="s">
        <v>123</v>
      </c>
      <c r="AR10" s="45" t="s">
        <v>124</v>
      </c>
      <c r="AS10" s="46" t="s">
        <v>125</v>
      </c>
      <c r="AT10" s="46" t="s">
        <v>126</v>
      </c>
      <c r="AU10" s="46" t="s">
        <v>127</v>
      </c>
      <c r="AV10" s="46" t="s">
        <v>128</v>
      </c>
      <c r="AW10" s="46" t="s">
        <v>129</v>
      </c>
      <c r="AX10" s="46" t="s">
        <v>130</v>
      </c>
      <c r="AY10" s="46" t="s">
        <v>131</v>
      </c>
      <c r="AZ10" s="46" t="s">
        <v>132</v>
      </c>
      <c r="BA10" s="46" t="s">
        <v>133</v>
      </c>
      <c r="BB10" s="46" t="s">
        <v>134</v>
      </c>
      <c r="BC10" s="46" t="s">
        <v>135</v>
      </c>
      <c r="BD10" s="46" t="s">
        <v>136</v>
      </c>
      <c r="BE10" s="46" t="s">
        <v>137</v>
      </c>
      <c r="BF10" s="46" t="s">
        <v>138</v>
      </c>
      <c r="BG10" s="46" t="s">
        <v>139</v>
      </c>
      <c r="BH10" s="47" t="s">
        <v>140</v>
      </c>
      <c r="BI10" s="47" t="s">
        <v>141</v>
      </c>
      <c r="BJ10" s="47" t="s">
        <v>142</v>
      </c>
      <c r="BK10" s="47" t="s">
        <v>143</v>
      </c>
      <c r="BL10" s="47" t="s">
        <v>144</v>
      </c>
      <c r="BM10" s="47" t="s">
        <v>145</v>
      </c>
      <c r="BN10" s="47" t="s">
        <v>146</v>
      </c>
      <c r="BO10" s="47" t="s">
        <v>147</v>
      </c>
      <c r="BP10" s="47" t="s">
        <v>148</v>
      </c>
      <c r="BQ10" s="47" t="s">
        <v>149</v>
      </c>
      <c r="BR10" s="47" t="s">
        <v>150</v>
      </c>
      <c r="BS10" s="47" t="s">
        <v>151</v>
      </c>
      <c r="BT10" s="47" t="s">
        <v>152</v>
      </c>
      <c r="BU10" s="47" t="s">
        <v>153</v>
      </c>
      <c r="BV10" s="47" t="s">
        <v>154</v>
      </c>
      <c r="BW10" s="47" t="s">
        <v>155</v>
      </c>
      <c r="BX10" s="47" t="s">
        <v>156</v>
      </c>
      <c r="BY10" s="47" t="s">
        <v>157</v>
      </c>
      <c r="BZ10" s="47" t="s">
        <v>158</v>
      </c>
      <c r="CA10" s="47" t="s">
        <v>159</v>
      </c>
      <c r="CB10" s="47" t="s">
        <v>160</v>
      </c>
      <c r="CC10" s="47" t="s">
        <v>161</v>
      </c>
      <c r="CD10" s="47" t="s">
        <v>162</v>
      </c>
      <c r="CE10" s="47" t="s">
        <v>163</v>
      </c>
      <c r="CF10" s="47" t="s">
        <v>164</v>
      </c>
      <c r="CG10" s="47" t="s">
        <v>165</v>
      </c>
      <c r="CH10" s="47" t="s">
        <v>166</v>
      </c>
      <c r="CI10" s="47" t="s">
        <v>167</v>
      </c>
      <c r="CJ10" s="48" t="s">
        <v>168</v>
      </c>
      <c r="CK10" s="48" t="s">
        <v>169</v>
      </c>
      <c r="CL10" s="48" t="s">
        <v>170</v>
      </c>
      <c r="CM10" s="48" t="s">
        <v>171</v>
      </c>
      <c r="CN10" s="48" t="s">
        <v>172</v>
      </c>
      <c r="CO10" s="48" t="s">
        <v>173</v>
      </c>
      <c r="CP10" s="48" t="s">
        <v>174</v>
      </c>
      <c r="CQ10" s="48" t="s">
        <v>175</v>
      </c>
      <c r="CR10" s="48" t="s">
        <v>176</v>
      </c>
      <c r="CS10" s="48" t="s">
        <v>177</v>
      </c>
      <c r="CT10" s="48" t="s">
        <v>178</v>
      </c>
      <c r="CU10" s="48" t="s">
        <v>179</v>
      </c>
      <c r="CV10" s="48" t="s">
        <v>180</v>
      </c>
      <c r="CW10" s="48" t="s">
        <v>181</v>
      </c>
      <c r="CX10" s="48" t="s">
        <v>182</v>
      </c>
      <c r="CY10" s="48" t="s">
        <v>183</v>
      </c>
      <c r="CZ10" s="48" t="s">
        <v>184</v>
      </c>
      <c r="DA10" s="48" t="s">
        <v>185</v>
      </c>
      <c r="DB10" s="48" t="s">
        <v>186</v>
      </c>
      <c r="DC10" s="48" t="s">
        <v>187</v>
      </c>
      <c r="DD10" s="48" t="s">
        <v>188</v>
      </c>
      <c r="DE10" s="48" t="s">
        <v>189</v>
      </c>
      <c r="DF10" s="48" t="s">
        <v>190</v>
      </c>
      <c r="DG10" s="48" t="s">
        <v>191</v>
      </c>
      <c r="DH10" s="48" t="s">
        <v>192</v>
      </c>
      <c r="DI10" s="48" t="s">
        <v>193</v>
      </c>
      <c r="DJ10" s="48" t="s">
        <v>194</v>
      </c>
      <c r="DK10" s="48" t="s">
        <v>195</v>
      </c>
      <c r="DL10" s="48" t="s">
        <v>196</v>
      </c>
      <c r="DM10" s="48" t="s">
        <v>197</v>
      </c>
      <c r="DN10" s="48" t="s">
        <v>198</v>
      </c>
      <c r="DO10" s="48" t="s">
        <v>199</v>
      </c>
      <c r="DP10" s="48" t="s">
        <v>200</v>
      </c>
      <c r="DQ10" s="48" t="s">
        <v>201</v>
      </c>
      <c r="DR10" s="48" t="s">
        <v>202</v>
      </c>
      <c r="DS10" s="48" t="s">
        <v>203</v>
      </c>
      <c r="DT10" s="48" t="s">
        <v>204</v>
      </c>
      <c r="DU10" s="48" t="s">
        <v>205</v>
      </c>
      <c r="DV10" s="48" t="s">
        <v>206</v>
      </c>
      <c r="DW10" s="48" t="s">
        <v>207</v>
      </c>
      <c r="DX10" s="48" t="s">
        <v>208</v>
      </c>
      <c r="DY10" s="48" t="s">
        <v>209</v>
      </c>
      <c r="DZ10" s="48" t="s">
        <v>210</v>
      </c>
      <c r="EA10" s="48" t="s">
        <v>211</v>
      </c>
      <c r="EB10" s="48" t="s">
        <v>212</v>
      </c>
    </row>
    <row r="11" spans="1:132" x14ac:dyDescent="0.35">
      <c r="A11" s="49" t="s">
        <v>66</v>
      </c>
      <c r="B11" s="50" t="s">
        <v>26</v>
      </c>
      <c r="C11" s="51" t="s">
        <v>42</v>
      </c>
      <c r="D11" s="52">
        <f t="shared" ref="D11:AM11" si="0">D12+D23</f>
        <v>2044999.0393699999</v>
      </c>
      <c r="E11" s="53">
        <f t="shared" si="0"/>
        <v>2045740.43356</v>
      </c>
      <c r="F11" s="53">
        <f t="shared" si="0"/>
        <v>2027253.3304000001</v>
      </c>
      <c r="G11" s="53">
        <f t="shared" si="0"/>
        <v>2050110.1469599998</v>
      </c>
      <c r="H11" s="53">
        <f t="shared" si="0"/>
        <v>2073935.8466000003</v>
      </c>
      <c r="I11" s="53">
        <f t="shared" si="0"/>
        <v>2086726.8310200002</v>
      </c>
      <c r="J11" s="53">
        <f t="shared" si="0"/>
        <v>2090513.4261699999</v>
      </c>
      <c r="K11" s="53">
        <f t="shared" si="0"/>
        <v>2085757.5240000002</v>
      </c>
      <c r="L11" s="53">
        <f t="shared" si="0"/>
        <v>2102222.92</v>
      </c>
      <c r="M11" s="53">
        <f t="shared" si="0"/>
        <v>2106436.2229700005</v>
      </c>
      <c r="N11" s="53">
        <f t="shared" si="0"/>
        <v>2065378.73006</v>
      </c>
      <c r="O11" s="53">
        <f t="shared" si="0"/>
        <v>2068759.4533400002</v>
      </c>
      <c r="P11" s="54">
        <f t="shared" si="0"/>
        <v>2077027.1697300002</v>
      </c>
      <c r="Q11" s="54">
        <f t="shared" si="0"/>
        <v>2102462.0389400003</v>
      </c>
      <c r="R11" s="54">
        <f t="shared" si="0"/>
        <v>2116703.0140999998</v>
      </c>
      <c r="S11" s="54">
        <f t="shared" si="0"/>
        <v>2113412.0392800001</v>
      </c>
      <c r="T11" s="54">
        <f t="shared" si="0"/>
        <v>2142892.9464500002</v>
      </c>
      <c r="U11" s="55">
        <f t="shared" si="0"/>
        <v>2144641.40496</v>
      </c>
      <c r="V11" s="55">
        <f t="shared" si="0"/>
        <v>2148476.7612000001</v>
      </c>
      <c r="W11" s="55">
        <f t="shared" si="0"/>
        <v>2150644.1934599997</v>
      </c>
      <c r="X11" s="55">
        <f t="shared" si="0"/>
        <v>2150063.4176000003</v>
      </c>
      <c r="Y11" s="55">
        <f t="shared" si="0"/>
        <v>2148129.3281099997</v>
      </c>
      <c r="Z11" s="55">
        <f t="shared" si="0"/>
        <v>2154474.2799230004</v>
      </c>
      <c r="AA11" s="55">
        <f t="shared" si="0"/>
        <v>2158846.3501072</v>
      </c>
      <c r="AB11" s="55">
        <f t="shared" si="0"/>
        <v>2107892.8371700002</v>
      </c>
      <c r="AC11" s="55">
        <f t="shared" si="0"/>
        <v>2073167.69154</v>
      </c>
      <c r="AD11" s="55">
        <f t="shared" si="0"/>
        <v>2032176.3786000004</v>
      </c>
      <c r="AE11" s="55">
        <f t="shared" si="0"/>
        <v>2035960.1644699997</v>
      </c>
      <c r="AF11" s="55">
        <f t="shared" si="0"/>
        <v>2143857.4165600003</v>
      </c>
      <c r="AG11" s="55">
        <f t="shared" si="0"/>
        <v>2075640.3509999998</v>
      </c>
      <c r="AH11" s="55">
        <f t="shared" si="0"/>
        <v>2049903.9361999999</v>
      </c>
      <c r="AI11" s="55">
        <f t="shared" si="0"/>
        <v>2037041.1337799998</v>
      </c>
      <c r="AJ11" s="55">
        <f t="shared" si="0"/>
        <v>2023129.8211199995</v>
      </c>
      <c r="AK11" s="55">
        <f t="shared" si="0"/>
        <v>2033659.9411599999</v>
      </c>
      <c r="AL11" s="55">
        <f t="shared" si="0"/>
        <v>2044415.6169999996</v>
      </c>
      <c r="AM11" s="55">
        <f t="shared" si="0"/>
        <v>2028153.9279999998</v>
      </c>
      <c r="AN11" s="55">
        <v>2028300.5</v>
      </c>
      <c r="AO11" s="56">
        <v>2063116.9067500001</v>
      </c>
      <c r="AP11" s="9">
        <f>AP12+AP23</f>
        <v>2070741.0561200003</v>
      </c>
      <c r="AQ11" s="9">
        <f>AQ12+AQ23</f>
        <v>2079377.4871499999</v>
      </c>
      <c r="AR11" s="9">
        <v>2106974.0480999993</v>
      </c>
      <c r="AS11" s="56">
        <f t="shared" ref="AS11:DD11" si="1">AS12+AS23</f>
        <v>2080203.3887200002</v>
      </c>
      <c r="AT11" s="56">
        <f t="shared" si="1"/>
        <v>2019532.0836405098</v>
      </c>
      <c r="AU11" s="57">
        <f t="shared" si="1"/>
        <v>2017320.2291899999</v>
      </c>
      <c r="AV11" s="57">
        <f t="shared" si="1"/>
        <v>2021184.4500000002</v>
      </c>
      <c r="AW11" s="57">
        <f t="shared" si="1"/>
        <v>2104918.17</v>
      </c>
      <c r="AX11" s="57">
        <f t="shared" si="1"/>
        <v>2029489.73</v>
      </c>
      <c r="AY11" s="57">
        <f t="shared" si="1"/>
        <v>2004658.29</v>
      </c>
      <c r="AZ11" s="19">
        <f t="shared" si="1"/>
        <v>2093470.88</v>
      </c>
      <c r="BA11" s="19">
        <f t="shared" si="1"/>
        <v>2078488.27</v>
      </c>
      <c r="BB11" s="19">
        <f t="shared" si="1"/>
        <v>2050179.5499999998</v>
      </c>
      <c r="BC11" s="19">
        <f t="shared" si="1"/>
        <v>2072276.2399999998</v>
      </c>
      <c r="BD11" s="9">
        <f t="shared" si="1"/>
        <v>2079002.17</v>
      </c>
      <c r="BE11" s="56">
        <f t="shared" si="1"/>
        <v>1984635.85</v>
      </c>
      <c r="BF11" s="57">
        <f t="shared" si="1"/>
        <v>2036951.2999999998</v>
      </c>
      <c r="BG11" s="57">
        <f t="shared" si="1"/>
        <v>1998667.9100000001</v>
      </c>
      <c r="BH11" s="58">
        <f t="shared" si="1"/>
        <v>1970612.1099999999</v>
      </c>
      <c r="BI11" s="58">
        <f t="shared" si="1"/>
        <v>2044379.21</v>
      </c>
      <c r="BJ11" s="58">
        <f t="shared" si="1"/>
        <v>2005048.3399999999</v>
      </c>
      <c r="BK11" s="58">
        <f t="shared" si="1"/>
        <v>2008086.3</v>
      </c>
      <c r="BL11" s="58">
        <f t="shared" si="1"/>
        <v>2082554.42</v>
      </c>
      <c r="BM11" s="58">
        <f t="shared" si="1"/>
        <v>2089631.6499532</v>
      </c>
      <c r="BN11" s="58">
        <f t="shared" si="1"/>
        <v>2054365.25</v>
      </c>
      <c r="BO11" s="58">
        <f t="shared" si="1"/>
        <v>2128438.3800000004</v>
      </c>
      <c r="BP11" s="58">
        <f t="shared" si="1"/>
        <v>2136734.28192</v>
      </c>
      <c r="BQ11" s="58">
        <f t="shared" si="1"/>
        <v>2079464.21</v>
      </c>
      <c r="BR11" s="58">
        <f t="shared" si="1"/>
        <v>2081487.0300000003</v>
      </c>
      <c r="BS11" s="58">
        <f t="shared" si="1"/>
        <v>2124891.46</v>
      </c>
      <c r="BT11" s="58">
        <f t="shared" si="1"/>
        <v>2085985.19</v>
      </c>
      <c r="BU11" s="58">
        <f t="shared" si="1"/>
        <v>2142626.7799999998</v>
      </c>
      <c r="BV11" s="58">
        <f t="shared" si="1"/>
        <v>2170441.2400000002</v>
      </c>
      <c r="BW11" s="58">
        <f t="shared" si="1"/>
        <v>2152560.5304399999</v>
      </c>
      <c r="BX11" s="58">
        <f t="shared" si="1"/>
        <v>2234350.04</v>
      </c>
      <c r="BY11" s="58">
        <f t="shared" si="1"/>
        <v>2169796.2000000002</v>
      </c>
      <c r="BZ11" s="58">
        <f t="shared" si="1"/>
        <v>2162476.14</v>
      </c>
      <c r="CA11" s="58">
        <f t="shared" si="1"/>
        <v>2221653.29</v>
      </c>
      <c r="CB11" s="58">
        <f t="shared" si="1"/>
        <v>2201202.38</v>
      </c>
      <c r="CC11" s="58">
        <f t="shared" si="1"/>
        <v>2153205.2011099998</v>
      </c>
      <c r="CD11" s="58">
        <f t="shared" si="1"/>
        <v>2233288.2218707302</v>
      </c>
      <c r="CE11" s="58">
        <f t="shared" si="1"/>
        <v>2249781.88</v>
      </c>
      <c r="CF11" s="58">
        <f t="shared" si="1"/>
        <v>2245360.6643200004</v>
      </c>
      <c r="CG11" s="58">
        <f t="shared" si="1"/>
        <v>2224940.9059600001</v>
      </c>
      <c r="CH11" s="58">
        <f t="shared" si="1"/>
        <v>2218507.31</v>
      </c>
      <c r="CI11" s="58">
        <f t="shared" si="1"/>
        <v>2215538.3476799997</v>
      </c>
      <c r="CJ11" s="59">
        <f t="shared" si="1"/>
        <v>2218911.4899519999</v>
      </c>
      <c r="CK11" s="59">
        <f t="shared" si="1"/>
        <v>2222878.5499999998</v>
      </c>
      <c r="CL11" s="59">
        <f t="shared" si="1"/>
        <v>2192897.1846599998</v>
      </c>
      <c r="CM11" s="59">
        <f t="shared" si="1"/>
        <v>2215287.3804959999</v>
      </c>
      <c r="CN11" s="59">
        <f t="shared" si="1"/>
        <v>2211883.75</v>
      </c>
      <c r="CO11" s="59">
        <f t="shared" si="1"/>
        <v>2219801.7800000003</v>
      </c>
      <c r="CP11" s="59">
        <f t="shared" si="1"/>
        <v>2237314.8369999998</v>
      </c>
      <c r="CQ11" s="59">
        <f t="shared" si="1"/>
        <v>2242020.2459359998</v>
      </c>
      <c r="CR11" s="59">
        <f t="shared" si="1"/>
        <v>2216338.91</v>
      </c>
      <c r="CS11" s="59">
        <f t="shared" si="1"/>
        <v>2207465.4618100002</v>
      </c>
      <c r="CT11" s="59">
        <f t="shared" si="1"/>
        <v>2199599.5099999998</v>
      </c>
      <c r="CU11" s="59">
        <f t="shared" si="1"/>
        <v>2152387.7599999998</v>
      </c>
      <c r="CV11" s="59">
        <f t="shared" si="1"/>
        <v>2182608.5598600004</v>
      </c>
      <c r="CW11" s="59">
        <f t="shared" si="1"/>
        <v>2209429.48</v>
      </c>
      <c r="CX11" s="59">
        <f t="shared" si="1"/>
        <v>2198807.94</v>
      </c>
      <c r="CY11" s="59">
        <f t="shared" si="1"/>
        <v>2186898.5739332894</v>
      </c>
      <c r="CZ11" s="59">
        <f t="shared" si="1"/>
        <v>2271505.2216145359</v>
      </c>
      <c r="DA11" s="59">
        <f t="shared" si="1"/>
        <v>2269699.5787998862</v>
      </c>
      <c r="DB11" s="59">
        <f t="shared" si="1"/>
        <v>2272507.052834</v>
      </c>
      <c r="DC11" s="59">
        <f t="shared" si="1"/>
        <v>2255000.3988198</v>
      </c>
      <c r="DD11" s="59">
        <f t="shared" si="1"/>
        <v>2250068.0312806484</v>
      </c>
      <c r="DE11" s="59">
        <f t="shared" ref="DE11:DR11" si="2">DE12+DE23</f>
        <v>2255723.7319920002</v>
      </c>
      <c r="DF11" s="59">
        <f t="shared" si="2"/>
        <v>2245247.806351</v>
      </c>
      <c r="DG11" s="59">
        <f t="shared" si="2"/>
        <v>2263495.9283719999</v>
      </c>
      <c r="DH11" s="59">
        <f t="shared" si="2"/>
        <v>2282140.3908759998</v>
      </c>
      <c r="DI11" s="59">
        <f t="shared" si="2"/>
        <v>2269737.3356309999</v>
      </c>
      <c r="DJ11" s="59">
        <f t="shared" si="2"/>
        <v>2269384.9533320004</v>
      </c>
      <c r="DK11" s="59">
        <f t="shared" si="2"/>
        <v>2262465.30761</v>
      </c>
      <c r="DL11" s="59">
        <f t="shared" si="2"/>
        <v>2251326.7776299999</v>
      </c>
      <c r="DM11" s="59">
        <f t="shared" si="2"/>
        <v>2294073.9718240001</v>
      </c>
      <c r="DN11" s="59">
        <f t="shared" si="2"/>
        <v>2279922.4736959999</v>
      </c>
      <c r="DO11" s="59">
        <f t="shared" si="2"/>
        <v>2235853.355792</v>
      </c>
      <c r="DP11" s="59">
        <f t="shared" si="2"/>
        <v>2224902.065831</v>
      </c>
      <c r="DQ11" s="59">
        <f t="shared" si="2"/>
        <v>2244919.1065500001</v>
      </c>
      <c r="DR11" s="59">
        <f t="shared" si="2"/>
        <v>2251576.9634070001</v>
      </c>
      <c r="DS11" s="59">
        <f t="shared" ref="DS11:DX11" si="3">DS12+DS23</f>
        <v>2236442.9497460001</v>
      </c>
      <c r="DT11" s="59">
        <f t="shared" si="3"/>
        <v>2236714.3624119996</v>
      </c>
      <c r="DU11" s="59">
        <f t="shared" si="3"/>
        <v>2230662.3419960001</v>
      </c>
      <c r="DV11" s="59">
        <f t="shared" si="3"/>
        <v>2243014.2047939999</v>
      </c>
      <c r="DW11" s="59">
        <f t="shared" si="3"/>
        <v>2240084.2710830001</v>
      </c>
      <c r="DX11" s="59">
        <f t="shared" si="3"/>
        <v>2250646.2858840004</v>
      </c>
      <c r="DY11" s="59">
        <f t="shared" ref="DY11:DZ11" si="4">DY12+DY23</f>
        <v>2246217.5176099995</v>
      </c>
      <c r="DZ11" s="59">
        <f t="shared" si="4"/>
        <v>2247992.6502096001</v>
      </c>
      <c r="EA11" s="59">
        <f t="shared" ref="EA11:EB11" si="5">EA12+EA23</f>
        <v>2259741.9152799998</v>
      </c>
      <c r="EB11" s="59">
        <f t="shared" si="5"/>
        <v>2253309.830935</v>
      </c>
    </row>
    <row r="12" spans="1:132" x14ac:dyDescent="0.35">
      <c r="A12" s="49" t="s">
        <v>67</v>
      </c>
      <c r="B12" s="60" t="s">
        <v>27</v>
      </c>
      <c r="C12" s="51" t="s">
        <v>43</v>
      </c>
      <c r="D12" s="61">
        <f t="shared" ref="D12:AI12" si="6">D13+D18</f>
        <v>1056208.28</v>
      </c>
      <c r="E12" s="62">
        <f t="shared" si="6"/>
        <v>1056703.58</v>
      </c>
      <c r="F12" s="62">
        <f t="shared" si="6"/>
        <v>1058106.01</v>
      </c>
      <c r="G12" s="62">
        <f t="shared" si="6"/>
        <v>857433.44</v>
      </c>
      <c r="H12" s="62">
        <f t="shared" si="6"/>
        <v>857433.44</v>
      </c>
      <c r="I12" s="62">
        <f t="shared" si="6"/>
        <v>858861.89999999991</v>
      </c>
      <c r="J12" s="62">
        <f t="shared" si="6"/>
        <v>859587.4800000001</v>
      </c>
      <c r="K12" s="62">
        <f t="shared" si="6"/>
        <v>859812.62000000011</v>
      </c>
      <c r="L12" s="62">
        <f t="shared" si="6"/>
        <v>860262.61000000022</v>
      </c>
      <c r="M12" s="62">
        <f t="shared" si="6"/>
        <v>860972.88000000012</v>
      </c>
      <c r="N12" s="62">
        <f t="shared" si="6"/>
        <v>816113.42</v>
      </c>
      <c r="O12" s="62">
        <f t="shared" si="6"/>
        <v>815948.48</v>
      </c>
      <c r="P12" s="54">
        <f t="shared" si="6"/>
        <v>816508.01000000013</v>
      </c>
      <c r="Q12" s="54">
        <f t="shared" si="6"/>
        <v>823845.71</v>
      </c>
      <c r="R12" s="54">
        <f t="shared" si="6"/>
        <v>824482.28</v>
      </c>
      <c r="S12" s="54">
        <f t="shared" si="6"/>
        <v>824998.94000000006</v>
      </c>
      <c r="T12" s="54">
        <f t="shared" si="6"/>
        <v>833550.54</v>
      </c>
      <c r="U12" s="55">
        <f t="shared" si="6"/>
        <v>824431.14</v>
      </c>
      <c r="V12" s="55">
        <f t="shared" si="6"/>
        <v>825717.14</v>
      </c>
      <c r="W12" s="55">
        <f t="shared" si="6"/>
        <v>834367.95</v>
      </c>
      <c r="X12" s="55">
        <f t="shared" si="6"/>
        <v>834319.96</v>
      </c>
      <c r="Y12" s="55">
        <f t="shared" si="6"/>
        <v>834486.79999999981</v>
      </c>
      <c r="Z12" s="55">
        <f t="shared" si="6"/>
        <v>848067.96</v>
      </c>
      <c r="AA12" s="55">
        <f t="shared" si="6"/>
        <v>848505.8899999999</v>
      </c>
      <c r="AB12" s="55">
        <f t="shared" si="6"/>
        <v>862446.07000000007</v>
      </c>
      <c r="AC12" s="55">
        <f t="shared" si="6"/>
        <v>820164.40000000014</v>
      </c>
      <c r="AD12" s="55">
        <f t="shared" si="6"/>
        <v>819970.80000000016</v>
      </c>
      <c r="AE12" s="55">
        <f t="shared" si="6"/>
        <v>820252.10399999993</v>
      </c>
      <c r="AF12" s="55">
        <f t="shared" si="6"/>
        <v>821902.89500000002</v>
      </c>
      <c r="AG12" s="55">
        <f t="shared" si="6"/>
        <v>754052.92999999993</v>
      </c>
      <c r="AH12" s="55">
        <f t="shared" si="6"/>
        <v>758388.41999999993</v>
      </c>
      <c r="AI12" s="55">
        <f t="shared" si="6"/>
        <v>759939.54999999993</v>
      </c>
      <c r="AJ12" s="55">
        <f>AJ13+AJ18</f>
        <v>760275.77999999991</v>
      </c>
      <c r="AK12" s="55">
        <f>AK13+AK18</f>
        <v>765675.40999999992</v>
      </c>
      <c r="AL12" s="55">
        <f>AL13+AL18</f>
        <v>751918.45000000007</v>
      </c>
      <c r="AM12" s="55">
        <f>AM13+AM18</f>
        <v>756864.49</v>
      </c>
      <c r="AN12" s="55">
        <v>764136.44</v>
      </c>
      <c r="AO12" s="56">
        <v>770444.71000000008</v>
      </c>
      <c r="AP12" s="9">
        <f>AP13+AP18</f>
        <v>774648.93</v>
      </c>
      <c r="AQ12" s="9">
        <f>AQ13+AQ18</f>
        <v>734520.33000000007</v>
      </c>
      <c r="AR12" s="9">
        <v>741153.45</v>
      </c>
      <c r="AS12" s="56">
        <f t="shared" ref="AS12:DD12" si="7">AS13+AS18</f>
        <v>739930.35</v>
      </c>
      <c r="AT12" s="56">
        <f t="shared" si="7"/>
        <v>744320.76364051003</v>
      </c>
      <c r="AU12" s="56">
        <f t="shared" si="7"/>
        <v>752048.66000000015</v>
      </c>
      <c r="AV12" s="56">
        <f t="shared" si="7"/>
        <v>752120.94000000006</v>
      </c>
      <c r="AW12" s="56">
        <f t="shared" si="7"/>
        <v>756040.60000000009</v>
      </c>
      <c r="AX12" s="56">
        <f t="shared" si="7"/>
        <v>755710.37000000011</v>
      </c>
      <c r="AY12" s="56">
        <f t="shared" si="7"/>
        <v>755977.66999999993</v>
      </c>
      <c r="AZ12" s="9">
        <f t="shared" si="7"/>
        <v>761313.31</v>
      </c>
      <c r="BA12" s="9">
        <f t="shared" si="7"/>
        <v>768920.34000000008</v>
      </c>
      <c r="BB12" s="9">
        <f t="shared" si="7"/>
        <v>769236.91999999993</v>
      </c>
      <c r="BC12" s="9">
        <f t="shared" si="7"/>
        <v>742119.77999999991</v>
      </c>
      <c r="BD12" s="9">
        <f t="shared" si="7"/>
        <v>742541.64999999991</v>
      </c>
      <c r="BE12" s="56">
        <f t="shared" si="7"/>
        <v>734643.94000000006</v>
      </c>
      <c r="BF12" s="56">
        <f t="shared" si="7"/>
        <v>742841.34</v>
      </c>
      <c r="BG12" s="56">
        <f t="shared" si="7"/>
        <v>743306.73</v>
      </c>
      <c r="BH12" s="63">
        <f t="shared" si="7"/>
        <v>743902.1</v>
      </c>
      <c r="BI12" s="63">
        <f t="shared" si="7"/>
        <v>744502.9</v>
      </c>
      <c r="BJ12" s="63">
        <f t="shared" si="7"/>
        <v>744506.94000000006</v>
      </c>
      <c r="BK12" s="63">
        <f t="shared" si="7"/>
        <v>761804.51</v>
      </c>
      <c r="BL12" s="63">
        <f t="shared" si="7"/>
        <v>764525.45000000007</v>
      </c>
      <c r="BM12" s="63">
        <f t="shared" si="7"/>
        <v>769573.68</v>
      </c>
      <c r="BN12" s="63">
        <f t="shared" si="7"/>
        <v>769693.41</v>
      </c>
      <c r="BO12" s="63">
        <f t="shared" si="7"/>
        <v>776579.46000000008</v>
      </c>
      <c r="BP12" s="63">
        <f t="shared" si="7"/>
        <v>777197.41</v>
      </c>
      <c r="BQ12" s="63">
        <f t="shared" si="7"/>
        <v>785443.7</v>
      </c>
      <c r="BR12" s="63">
        <f t="shared" si="7"/>
        <v>775639.09</v>
      </c>
      <c r="BS12" s="63">
        <f t="shared" si="7"/>
        <v>775983.23</v>
      </c>
      <c r="BT12" s="63">
        <f t="shared" si="7"/>
        <v>776483.16</v>
      </c>
      <c r="BU12" s="63">
        <f t="shared" si="7"/>
        <v>777109.83</v>
      </c>
      <c r="BV12" s="63">
        <f t="shared" si="7"/>
        <v>787038.18</v>
      </c>
      <c r="BW12" s="63">
        <f t="shared" si="7"/>
        <v>795225.02</v>
      </c>
      <c r="BX12" s="63">
        <f t="shared" si="7"/>
        <v>798667.18</v>
      </c>
      <c r="BY12" s="63">
        <f t="shared" si="7"/>
        <v>782623.05</v>
      </c>
      <c r="BZ12" s="63">
        <f t="shared" si="7"/>
        <v>782977.70000000007</v>
      </c>
      <c r="CA12" s="63">
        <f t="shared" si="7"/>
        <v>793771.25</v>
      </c>
      <c r="CB12" s="63">
        <f t="shared" si="7"/>
        <v>799592.55999999994</v>
      </c>
      <c r="CC12" s="63">
        <f t="shared" si="7"/>
        <v>800458.93</v>
      </c>
      <c r="CD12" s="63">
        <f t="shared" si="7"/>
        <v>806536.14354073012</v>
      </c>
      <c r="CE12" s="63">
        <f t="shared" si="7"/>
        <v>817720.55</v>
      </c>
      <c r="CF12" s="63">
        <f t="shared" si="7"/>
        <v>824074.03</v>
      </c>
      <c r="CG12" s="63">
        <f t="shared" si="7"/>
        <v>824540.93</v>
      </c>
      <c r="CH12" s="63">
        <f t="shared" si="7"/>
        <v>809437.47</v>
      </c>
      <c r="CI12" s="63">
        <f t="shared" si="7"/>
        <v>810089.73</v>
      </c>
      <c r="CJ12" s="64">
        <f t="shared" si="7"/>
        <v>806818.9</v>
      </c>
      <c r="CK12" s="64">
        <f t="shared" si="7"/>
        <v>812904.58000000007</v>
      </c>
      <c r="CL12" s="64">
        <f t="shared" si="7"/>
        <v>813223.79</v>
      </c>
      <c r="CM12" s="64">
        <f t="shared" si="7"/>
        <v>824734.38</v>
      </c>
      <c r="CN12" s="64">
        <f t="shared" si="7"/>
        <v>835918.23</v>
      </c>
      <c r="CO12" s="64">
        <f t="shared" si="7"/>
        <v>836635.53</v>
      </c>
      <c r="CP12" s="64">
        <f t="shared" si="7"/>
        <v>843759.94</v>
      </c>
      <c r="CQ12" s="64">
        <f t="shared" si="7"/>
        <v>844867.74</v>
      </c>
      <c r="CR12" s="64">
        <f t="shared" si="7"/>
        <v>845782.34000000008</v>
      </c>
      <c r="CS12" s="64">
        <f t="shared" si="7"/>
        <v>820278.15</v>
      </c>
      <c r="CT12" s="64">
        <f t="shared" si="7"/>
        <v>820333.17</v>
      </c>
      <c r="CU12" s="64">
        <f t="shared" si="7"/>
        <v>799313.26</v>
      </c>
      <c r="CV12" s="64">
        <f t="shared" si="7"/>
        <v>808759.02</v>
      </c>
      <c r="CW12" s="64">
        <f t="shared" si="7"/>
        <v>816927.27</v>
      </c>
      <c r="CX12" s="64">
        <f t="shared" si="7"/>
        <v>817174.75</v>
      </c>
      <c r="CY12" s="64">
        <f t="shared" si="7"/>
        <v>822938.52</v>
      </c>
      <c r="CZ12" s="64">
        <f t="shared" si="7"/>
        <v>826829.82300000009</v>
      </c>
      <c r="DA12" s="64">
        <f t="shared" si="7"/>
        <v>827720.96000000008</v>
      </c>
      <c r="DB12" s="64">
        <f t="shared" si="7"/>
        <v>828516.2300000001</v>
      </c>
      <c r="DC12" s="64">
        <f t="shared" si="7"/>
        <v>829157.4</v>
      </c>
      <c r="DD12" s="64">
        <f t="shared" si="7"/>
        <v>830152.14980864862</v>
      </c>
      <c r="DE12" s="64">
        <f t="shared" ref="DE12:DU12" si="8">DE13+DE18</f>
        <v>831126.72000000009</v>
      </c>
      <c r="DF12" s="64">
        <f t="shared" si="8"/>
        <v>831459.81</v>
      </c>
      <c r="DG12" s="64">
        <f t="shared" si="8"/>
        <v>831496.13</v>
      </c>
      <c r="DH12" s="64">
        <f t="shared" si="8"/>
        <v>831341.14</v>
      </c>
      <c r="DI12" s="64">
        <f t="shared" si="8"/>
        <v>839187</v>
      </c>
      <c r="DJ12" s="64">
        <f t="shared" si="8"/>
        <v>839330.07500000007</v>
      </c>
      <c r="DK12" s="64">
        <f t="shared" si="8"/>
        <v>845108.92999999993</v>
      </c>
      <c r="DL12" s="64">
        <f t="shared" si="8"/>
        <v>839362.46100000001</v>
      </c>
      <c r="DM12" s="64">
        <f t="shared" si="8"/>
        <v>840583.15</v>
      </c>
      <c r="DN12" s="64">
        <f t="shared" si="8"/>
        <v>827982.8600000001</v>
      </c>
      <c r="DO12" s="64">
        <f t="shared" si="8"/>
        <v>828163.28</v>
      </c>
      <c r="DP12" s="64">
        <f t="shared" si="8"/>
        <v>828719.66500000004</v>
      </c>
      <c r="DQ12" s="64">
        <f t="shared" si="8"/>
        <v>848114.42700000003</v>
      </c>
      <c r="DR12" s="64">
        <f t="shared" si="8"/>
        <v>868439.10000000009</v>
      </c>
      <c r="DS12" s="64">
        <f t="shared" si="8"/>
        <v>822516.98</v>
      </c>
      <c r="DT12" s="64">
        <f t="shared" si="8"/>
        <v>812426.12</v>
      </c>
      <c r="DU12" s="64">
        <f t="shared" si="8"/>
        <v>812426.12</v>
      </c>
      <c r="DV12" s="64">
        <f t="shared" ref="DV12:DW12" si="9">DV13+DV18</f>
        <v>825817.09</v>
      </c>
      <c r="DW12" s="64">
        <f t="shared" si="9"/>
        <v>837044.82000000007</v>
      </c>
      <c r="DX12" s="64">
        <f t="shared" ref="DX12:DY12" si="10">DX13+DX18</f>
        <v>850052.45000000007</v>
      </c>
      <c r="DY12" s="64">
        <f t="shared" si="10"/>
        <v>850463.76</v>
      </c>
      <c r="DZ12" s="64">
        <f t="shared" ref="DZ12:EA12" si="11">DZ13+DZ18</f>
        <v>865991.37</v>
      </c>
      <c r="EA12" s="64">
        <f t="shared" si="11"/>
        <v>881250.85</v>
      </c>
      <c r="EB12" s="64">
        <f t="shared" ref="EB12" si="12">EB13+EB18</f>
        <v>882340.78</v>
      </c>
    </row>
    <row r="13" spans="1:132" x14ac:dyDescent="0.35">
      <c r="A13" s="49" t="s">
        <v>68</v>
      </c>
      <c r="B13" s="65" t="s">
        <v>28</v>
      </c>
      <c r="C13" s="51" t="s">
        <v>45</v>
      </c>
      <c r="D13" s="61">
        <f>SUM(D14:D17)</f>
        <v>67094.789999999994</v>
      </c>
      <c r="E13" s="62">
        <f t="shared" ref="E13:AM13" si="13">SUM(E14:E17)</f>
        <v>66381.37</v>
      </c>
      <c r="F13" s="62">
        <f t="shared" si="13"/>
        <v>66384.69</v>
      </c>
      <c r="G13" s="62">
        <f t="shared" si="13"/>
        <v>64884.39</v>
      </c>
      <c r="H13" s="62">
        <f t="shared" si="13"/>
        <v>64884.39</v>
      </c>
      <c r="I13" s="62">
        <f t="shared" si="13"/>
        <v>70917.06</v>
      </c>
      <c r="J13" s="62">
        <f t="shared" si="13"/>
        <v>70959.520000000004</v>
      </c>
      <c r="K13" s="62">
        <f t="shared" si="13"/>
        <v>70964.850000000006</v>
      </c>
      <c r="L13" s="62">
        <f t="shared" si="13"/>
        <v>70991.17</v>
      </c>
      <c r="M13" s="62">
        <f t="shared" si="13"/>
        <v>71043.05</v>
      </c>
      <c r="N13" s="62">
        <f t="shared" si="13"/>
        <v>10175.209999999999</v>
      </c>
      <c r="O13" s="62">
        <f t="shared" si="13"/>
        <v>10184.83</v>
      </c>
      <c r="P13" s="62">
        <f t="shared" si="13"/>
        <v>10241.15</v>
      </c>
      <c r="Q13" s="62">
        <f t="shared" si="13"/>
        <v>82954.37000000001</v>
      </c>
      <c r="R13" s="62">
        <f t="shared" si="13"/>
        <v>83003.62000000001</v>
      </c>
      <c r="S13" s="62">
        <f t="shared" si="13"/>
        <v>83012.47</v>
      </c>
      <c r="T13" s="62">
        <f t="shared" si="13"/>
        <v>78152.850000000006</v>
      </c>
      <c r="U13" s="62">
        <f t="shared" si="13"/>
        <v>68491.26999999999</v>
      </c>
      <c r="V13" s="62">
        <f t="shared" si="13"/>
        <v>69012.87</v>
      </c>
      <c r="W13" s="62">
        <f t="shared" si="13"/>
        <v>73366.84</v>
      </c>
      <c r="X13" s="62">
        <f t="shared" si="13"/>
        <v>73379.31</v>
      </c>
      <c r="Y13" s="62">
        <f t="shared" si="13"/>
        <v>73379.31</v>
      </c>
      <c r="Z13" s="62">
        <f t="shared" si="13"/>
        <v>81098.820000000007</v>
      </c>
      <c r="AA13" s="62">
        <f t="shared" si="13"/>
        <v>81098.820000000007</v>
      </c>
      <c r="AB13" s="62">
        <f t="shared" si="13"/>
        <v>81698.820000000007</v>
      </c>
      <c r="AC13" s="62">
        <f t="shared" si="13"/>
        <v>17810.920000000002</v>
      </c>
      <c r="AD13" s="62">
        <f t="shared" si="13"/>
        <v>18210.920000000002</v>
      </c>
      <c r="AE13" s="62">
        <f t="shared" si="13"/>
        <v>76849.210000000006</v>
      </c>
      <c r="AF13" s="62">
        <f t="shared" si="13"/>
        <v>77329.16</v>
      </c>
      <c r="AG13" s="55">
        <f t="shared" si="13"/>
        <v>79454.16</v>
      </c>
      <c r="AH13" s="55">
        <f t="shared" si="13"/>
        <v>79454.16</v>
      </c>
      <c r="AI13" s="55">
        <f t="shared" si="13"/>
        <v>75665.58</v>
      </c>
      <c r="AJ13" s="55">
        <f t="shared" si="13"/>
        <v>75664.09</v>
      </c>
      <c r="AK13" s="55">
        <f t="shared" si="13"/>
        <v>75664.09</v>
      </c>
      <c r="AL13" s="55">
        <f t="shared" si="13"/>
        <v>68294.73</v>
      </c>
      <c r="AM13" s="55">
        <f t="shared" si="13"/>
        <v>68211.83</v>
      </c>
      <c r="AN13" s="55">
        <v>68411.05</v>
      </c>
      <c r="AO13" s="56">
        <v>68711.05</v>
      </c>
      <c r="AP13" s="9">
        <f>SUM(AP14:AP17)</f>
        <v>68909.48</v>
      </c>
      <c r="AQ13" s="9">
        <f>SUM(AQ14:AQ17)</f>
        <v>51093.88</v>
      </c>
      <c r="AR13" s="9">
        <v>51293.079999999994</v>
      </c>
      <c r="AS13" s="56">
        <f t="shared" ref="AS13:DD13" si="14">SUM(AS14:AS17)</f>
        <v>57968.590000000004</v>
      </c>
      <c r="AT13" s="56">
        <f t="shared" si="14"/>
        <v>58066.99</v>
      </c>
      <c r="AU13" s="56">
        <f t="shared" si="14"/>
        <v>58164.91</v>
      </c>
      <c r="AV13" s="56">
        <f t="shared" si="14"/>
        <v>57920.100000000006</v>
      </c>
      <c r="AW13" s="56">
        <f t="shared" si="14"/>
        <v>58620.100000000006</v>
      </c>
      <c r="AX13" s="56">
        <f t="shared" si="14"/>
        <v>58499.060000000005</v>
      </c>
      <c r="AY13" s="56">
        <f t="shared" si="14"/>
        <v>58741.19</v>
      </c>
      <c r="AZ13" s="9">
        <f t="shared" si="14"/>
        <v>58741.19</v>
      </c>
      <c r="BA13" s="9">
        <f t="shared" si="14"/>
        <v>58841.19</v>
      </c>
      <c r="BB13" s="9">
        <f t="shared" si="14"/>
        <v>58841.19</v>
      </c>
      <c r="BC13" s="9">
        <f t="shared" si="14"/>
        <v>18417.7</v>
      </c>
      <c r="BD13" s="9">
        <f t="shared" si="14"/>
        <v>18517.7</v>
      </c>
      <c r="BE13" s="56">
        <f t="shared" si="14"/>
        <v>10102</v>
      </c>
      <c r="BF13" s="56">
        <f t="shared" si="14"/>
        <v>99699.12</v>
      </c>
      <c r="BG13" s="56">
        <f t="shared" si="14"/>
        <v>99799.12</v>
      </c>
      <c r="BH13" s="63">
        <f t="shared" si="14"/>
        <v>99799.12</v>
      </c>
      <c r="BI13" s="63">
        <f t="shared" si="14"/>
        <v>99799.12</v>
      </c>
      <c r="BJ13" s="63">
        <f t="shared" si="14"/>
        <v>99797.119999999995</v>
      </c>
      <c r="BK13" s="63">
        <f t="shared" si="14"/>
        <v>99797.119999999995</v>
      </c>
      <c r="BL13" s="63">
        <f t="shared" si="14"/>
        <v>99797.119999999995</v>
      </c>
      <c r="BM13" s="63">
        <f t="shared" si="14"/>
        <v>126292.12</v>
      </c>
      <c r="BN13" s="63">
        <f t="shared" si="14"/>
        <v>126292.12</v>
      </c>
      <c r="BO13" s="63">
        <f t="shared" si="14"/>
        <v>126292.12</v>
      </c>
      <c r="BP13" s="63">
        <f t="shared" si="14"/>
        <v>126292.12</v>
      </c>
      <c r="BQ13" s="63">
        <f t="shared" si="14"/>
        <v>126342.33</v>
      </c>
      <c r="BR13" s="63">
        <f t="shared" si="14"/>
        <v>36845.21</v>
      </c>
      <c r="BS13" s="63">
        <f t="shared" si="14"/>
        <v>36845.21</v>
      </c>
      <c r="BT13" s="63">
        <f t="shared" si="14"/>
        <v>36845.21</v>
      </c>
      <c r="BU13" s="63">
        <f t="shared" si="14"/>
        <v>36845.21</v>
      </c>
      <c r="BV13" s="63">
        <f t="shared" si="14"/>
        <v>52559.47</v>
      </c>
      <c r="BW13" s="63">
        <f t="shared" si="14"/>
        <v>52509.19</v>
      </c>
      <c r="BX13" s="63">
        <f t="shared" si="14"/>
        <v>56509.22</v>
      </c>
      <c r="BY13" s="63">
        <f t="shared" si="14"/>
        <v>30014.240000000002</v>
      </c>
      <c r="BZ13" s="63">
        <f t="shared" si="14"/>
        <v>30014.26</v>
      </c>
      <c r="CA13" s="63">
        <f t="shared" si="14"/>
        <v>30014.32</v>
      </c>
      <c r="CB13" s="63">
        <f t="shared" si="14"/>
        <v>30016.44</v>
      </c>
      <c r="CC13" s="63">
        <f t="shared" si="14"/>
        <v>30016.52</v>
      </c>
      <c r="CD13" s="63">
        <f t="shared" si="14"/>
        <v>30016.52</v>
      </c>
      <c r="CE13" s="63">
        <f t="shared" si="14"/>
        <v>30016.74</v>
      </c>
      <c r="CF13" s="63">
        <f t="shared" si="14"/>
        <v>30016.78</v>
      </c>
      <c r="CG13" s="63">
        <f t="shared" si="14"/>
        <v>72905.14</v>
      </c>
      <c r="CH13" s="63">
        <f t="shared" si="14"/>
        <v>57190.38</v>
      </c>
      <c r="CI13" s="63">
        <f t="shared" si="14"/>
        <v>104760.23</v>
      </c>
      <c r="CJ13" s="64">
        <f t="shared" si="14"/>
        <v>100569.64</v>
      </c>
      <c r="CK13" s="64">
        <f t="shared" si="14"/>
        <v>100569.64</v>
      </c>
      <c r="CL13" s="64">
        <f t="shared" si="14"/>
        <v>100569.64</v>
      </c>
      <c r="CM13" s="64">
        <f t="shared" si="14"/>
        <v>100569.64</v>
      </c>
      <c r="CN13" s="64">
        <f t="shared" si="14"/>
        <v>100567.59</v>
      </c>
      <c r="CO13" s="64">
        <f t="shared" si="14"/>
        <v>100567.59</v>
      </c>
      <c r="CP13" s="64">
        <f t="shared" si="14"/>
        <v>100758.18</v>
      </c>
      <c r="CQ13" s="64">
        <f t="shared" si="14"/>
        <v>100758.19</v>
      </c>
      <c r="CR13" s="64">
        <f t="shared" si="14"/>
        <v>100758.18</v>
      </c>
      <c r="CS13" s="64">
        <f t="shared" si="14"/>
        <v>57869.85</v>
      </c>
      <c r="CT13" s="64">
        <f t="shared" si="14"/>
        <v>57935.64</v>
      </c>
      <c r="CU13" s="64">
        <f t="shared" si="14"/>
        <v>10365.790000000001</v>
      </c>
      <c r="CV13" s="64">
        <f t="shared" si="14"/>
        <v>15389.33</v>
      </c>
      <c r="CW13" s="64">
        <f t="shared" si="14"/>
        <v>15389.33</v>
      </c>
      <c r="CX13" s="64">
        <f t="shared" si="14"/>
        <v>15389.33</v>
      </c>
      <c r="CY13" s="64">
        <f t="shared" si="14"/>
        <v>15389.33</v>
      </c>
      <c r="CZ13" s="64">
        <f t="shared" si="14"/>
        <v>29036.546999999999</v>
      </c>
      <c r="DA13" s="64">
        <f t="shared" si="14"/>
        <v>29036.55</v>
      </c>
      <c r="DB13" s="64">
        <f t="shared" si="14"/>
        <v>52741.05</v>
      </c>
      <c r="DC13" s="64">
        <f t="shared" si="14"/>
        <v>52741.05</v>
      </c>
      <c r="DD13" s="64">
        <f t="shared" si="14"/>
        <v>52741.047793999998</v>
      </c>
      <c r="DE13" s="64">
        <f t="shared" ref="DE13:DU13" si="15">SUM(DE14:DE17)</f>
        <v>52741.05</v>
      </c>
      <c r="DF13" s="64">
        <f t="shared" si="15"/>
        <v>66799.320000000007</v>
      </c>
      <c r="DG13" s="64">
        <f t="shared" si="15"/>
        <v>158678.73000000001</v>
      </c>
      <c r="DH13" s="64">
        <f t="shared" si="15"/>
        <v>191402.52</v>
      </c>
      <c r="DI13" s="64">
        <f t="shared" si="15"/>
        <v>191319.48</v>
      </c>
      <c r="DJ13" s="64">
        <f t="shared" si="15"/>
        <v>191299.851</v>
      </c>
      <c r="DK13" s="64">
        <f t="shared" si="15"/>
        <v>191410.69</v>
      </c>
      <c r="DL13" s="64">
        <f t="shared" si="15"/>
        <v>177899.94100000002</v>
      </c>
      <c r="DM13" s="64">
        <f t="shared" si="15"/>
        <v>178104.77</v>
      </c>
      <c r="DN13" s="64">
        <f t="shared" si="15"/>
        <v>154579.28</v>
      </c>
      <c r="DO13" s="64">
        <f t="shared" si="15"/>
        <v>154567.95000000001</v>
      </c>
      <c r="DP13" s="64">
        <f t="shared" si="15"/>
        <v>154633.12</v>
      </c>
      <c r="DQ13" s="64">
        <f t="shared" si="15"/>
        <v>154787.09299999999</v>
      </c>
      <c r="DR13" s="64">
        <f t="shared" si="15"/>
        <v>140046.87</v>
      </c>
      <c r="DS13" s="64">
        <f t="shared" si="15"/>
        <v>48124</v>
      </c>
      <c r="DT13" s="64">
        <f t="shared" si="15"/>
        <v>10300</v>
      </c>
      <c r="DU13" s="64">
        <f t="shared" si="15"/>
        <v>10300</v>
      </c>
      <c r="DV13" s="64">
        <f t="shared" ref="DV13:DW13" si="16">SUM(DV14:DV17)</f>
        <v>10300</v>
      </c>
      <c r="DW13" s="64">
        <f t="shared" si="16"/>
        <v>10300</v>
      </c>
      <c r="DX13" s="64">
        <f t="shared" ref="DX13:DY13" si="17">SUM(DX14:DX17)</f>
        <v>10300</v>
      </c>
      <c r="DY13" s="64">
        <f t="shared" si="17"/>
        <v>28926.57</v>
      </c>
      <c r="DZ13" s="64">
        <f t="shared" ref="DZ13:EA13" si="18">SUM(DZ14:DZ17)</f>
        <v>28926.57</v>
      </c>
      <c r="EA13" s="64">
        <f t="shared" si="18"/>
        <v>28926.57</v>
      </c>
      <c r="EB13" s="64">
        <f t="shared" ref="EB13" si="19">SUM(EB14:EB17)</f>
        <v>28926.57</v>
      </c>
    </row>
    <row r="14" spans="1:132" x14ac:dyDescent="0.35">
      <c r="A14" s="49" t="s">
        <v>69</v>
      </c>
      <c r="B14" s="66" t="s">
        <v>29</v>
      </c>
      <c r="C14" s="51" t="s">
        <v>46</v>
      </c>
      <c r="D14" s="67">
        <v>62649.09</v>
      </c>
      <c r="E14" s="68">
        <v>61933.86</v>
      </c>
      <c r="F14" s="68">
        <v>61933.86</v>
      </c>
      <c r="G14" s="68">
        <v>60431.87</v>
      </c>
      <c r="H14" s="68">
        <v>60431.87</v>
      </c>
      <c r="I14" s="68">
        <v>60428.07</v>
      </c>
      <c r="J14" s="68">
        <v>60428.07</v>
      </c>
      <c r="K14" s="68">
        <v>60428.07</v>
      </c>
      <c r="L14" s="68">
        <v>60428.07</v>
      </c>
      <c r="M14" s="68">
        <v>60428.07</v>
      </c>
      <c r="N14" s="68">
        <v>3.37</v>
      </c>
      <c r="O14" s="68">
        <v>3.37</v>
      </c>
      <c r="P14" s="69">
        <v>3.37</v>
      </c>
      <c r="Q14" s="69">
        <v>72602.27</v>
      </c>
      <c r="R14" s="69">
        <v>72602.27</v>
      </c>
      <c r="S14" s="69">
        <v>72602.27</v>
      </c>
      <c r="T14" s="69">
        <v>67691.27</v>
      </c>
      <c r="U14" s="70">
        <v>64491.27</v>
      </c>
      <c r="V14" s="70">
        <v>64491.27</v>
      </c>
      <c r="W14" s="70">
        <v>68491.27</v>
      </c>
      <c r="X14" s="70">
        <v>68491.27</v>
      </c>
      <c r="Y14" s="70">
        <v>68491.27</v>
      </c>
      <c r="Z14" s="3">
        <v>75978.77</v>
      </c>
      <c r="AA14" s="70">
        <v>75978.77</v>
      </c>
      <c r="AB14" s="70">
        <v>75978.77</v>
      </c>
      <c r="AC14" s="70">
        <v>11490.87</v>
      </c>
      <c r="AD14" s="70">
        <v>11490.87</v>
      </c>
      <c r="AE14" s="70">
        <v>69929.16</v>
      </c>
      <c r="AF14" s="70">
        <v>69929.16</v>
      </c>
      <c r="AG14" s="70">
        <v>69929.16</v>
      </c>
      <c r="AH14" s="70">
        <v>69929.16</v>
      </c>
      <c r="AI14" s="70">
        <v>65929.16</v>
      </c>
      <c r="AJ14" s="70">
        <v>65929.16</v>
      </c>
      <c r="AK14" s="70">
        <v>65929.16</v>
      </c>
      <c r="AL14" s="70">
        <v>58561.33</v>
      </c>
      <c r="AM14" s="70">
        <v>58561.33</v>
      </c>
      <c r="AN14" s="70">
        <v>58561.33</v>
      </c>
      <c r="AO14" s="71">
        <v>58561.33</v>
      </c>
      <c r="AP14" s="70">
        <v>58561.33</v>
      </c>
      <c r="AQ14" s="12">
        <v>40646.519999999997</v>
      </c>
      <c r="AR14" s="12">
        <v>40646.519999999997</v>
      </c>
      <c r="AS14" s="72">
        <v>49062.22</v>
      </c>
      <c r="AT14" s="72">
        <v>49062.22</v>
      </c>
      <c r="AU14" s="72">
        <v>49062.22</v>
      </c>
      <c r="AV14" s="72">
        <v>49062.22</v>
      </c>
      <c r="AW14" s="72">
        <v>49062.22</v>
      </c>
      <c r="AX14" s="72">
        <v>48941.19</v>
      </c>
      <c r="AY14" s="72">
        <v>48941.19</v>
      </c>
      <c r="AZ14" s="6">
        <v>48941.19</v>
      </c>
      <c r="BA14" s="6">
        <v>48941.19</v>
      </c>
      <c r="BB14" s="6">
        <v>48941.19</v>
      </c>
      <c r="BC14" s="6">
        <v>8417.7000000000007</v>
      </c>
      <c r="BD14" s="6">
        <v>8417.7000000000007</v>
      </c>
      <c r="BE14" s="71">
        <v>2</v>
      </c>
      <c r="BF14" s="71">
        <v>89499.12</v>
      </c>
      <c r="BG14" s="71">
        <v>89499.12</v>
      </c>
      <c r="BH14" s="73">
        <v>89499.12</v>
      </c>
      <c r="BI14" s="73">
        <v>89499.12</v>
      </c>
      <c r="BJ14" s="73">
        <v>89497.12</v>
      </c>
      <c r="BK14" s="73">
        <v>89497.12</v>
      </c>
      <c r="BL14" s="73">
        <v>89497.12</v>
      </c>
      <c r="BM14" s="73">
        <v>115992.12</v>
      </c>
      <c r="BN14" s="73">
        <v>115992.12</v>
      </c>
      <c r="BO14" s="73">
        <v>115992.12</v>
      </c>
      <c r="BP14" s="73">
        <v>115992.12</v>
      </c>
      <c r="BQ14" s="73">
        <v>115992.12</v>
      </c>
      <c r="BR14" s="73">
        <v>26495</v>
      </c>
      <c r="BS14" s="73">
        <v>26495</v>
      </c>
      <c r="BT14" s="73">
        <v>26495</v>
      </c>
      <c r="BU14" s="73">
        <v>26495</v>
      </c>
      <c r="BV14" s="73">
        <v>42209.26</v>
      </c>
      <c r="BW14" s="73">
        <v>42209.19</v>
      </c>
      <c r="BX14" s="73">
        <v>46209.22</v>
      </c>
      <c r="BY14" s="73">
        <v>19714.240000000002</v>
      </c>
      <c r="BZ14" s="73">
        <v>19714.259999999998</v>
      </c>
      <c r="CA14" s="73">
        <v>19714.32</v>
      </c>
      <c r="CB14" s="73">
        <v>19716.439999999999</v>
      </c>
      <c r="CC14" s="73">
        <v>19716.52</v>
      </c>
      <c r="CD14" s="73">
        <v>19716.52</v>
      </c>
      <c r="CE14" s="73">
        <v>19716.740000000002</v>
      </c>
      <c r="CF14" s="73">
        <v>19716.78</v>
      </c>
      <c r="CG14" s="73">
        <v>62605.14</v>
      </c>
      <c r="CH14" s="73">
        <v>46890.38</v>
      </c>
      <c r="CI14" s="73">
        <v>94460.23</v>
      </c>
      <c r="CJ14" s="73">
        <v>90460.23</v>
      </c>
      <c r="CK14" s="73">
        <v>90460.23</v>
      </c>
      <c r="CL14" s="73">
        <v>90460.23</v>
      </c>
      <c r="CM14" s="73">
        <v>90460.23</v>
      </c>
      <c r="CN14" s="74">
        <v>90458.18</v>
      </c>
      <c r="CO14" s="74">
        <v>90458.18</v>
      </c>
      <c r="CP14" s="74">
        <v>90458.18</v>
      </c>
      <c r="CQ14" s="74">
        <v>90458.19</v>
      </c>
      <c r="CR14" s="74">
        <v>90458.18</v>
      </c>
      <c r="CS14" s="74">
        <v>47569.85</v>
      </c>
      <c r="CT14" s="74">
        <v>47635.64</v>
      </c>
      <c r="CU14" s="74">
        <v>65.790000000000006</v>
      </c>
      <c r="CV14" s="74">
        <v>5089.33</v>
      </c>
      <c r="CW14" s="74">
        <v>5089.33</v>
      </c>
      <c r="CX14" s="74">
        <v>5089.33</v>
      </c>
      <c r="CY14" s="74">
        <v>5089.33</v>
      </c>
      <c r="CZ14" s="74">
        <v>18736.546999999999</v>
      </c>
      <c r="DA14" s="74">
        <v>18736.55</v>
      </c>
      <c r="DB14" s="74">
        <v>42441.05</v>
      </c>
      <c r="DC14" s="74">
        <v>42441.05</v>
      </c>
      <c r="DD14" s="74">
        <v>42441.047793999998</v>
      </c>
      <c r="DE14" s="74">
        <v>42441.05</v>
      </c>
      <c r="DF14" s="74">
        <v>56499.32</v>
      </c>
      <c r="DG14" s="74">
        <v>148378.73000000001</v>
      </c>
      <c r="DH14" s="74">
        <v>181102.52</v>
      </c>
      <c r="DI14" s="74">
        <v>181019.48</v>
      </c>
      <c r="DJ14" s="74">
        <v>180999.851</v>
      </c>
      <c r="DK14" s="74">
        <v>181110.69</v>
      </c>
      <c r="DL14" s="74">
        <v>167599.94100000002</v>
      </c>
      <c r="DM14" s="74">
        <v>167804.77</v>
      </c>
      <c r="DN14" s="74">
        <v>144279.28</v>
      </c>
      <c r="DO14" s="74">
        <v>144267.95000000001</v>
      </c>
      <c r="DP14" s="74">
        <v>144333.12</v>
      </c>
      <c r="DQ14" s="74">
        <v>144487.09299999999</v>
      </c>
      <c r="DR14" s="74">
        <v>129746.87</v>
      </c>
      <c r="DS14" s="74">
        <v>37824</v>
      </c>
      <c r="DT14" s="97">
        <v>0</v>
      </c>
      <c r="DU14" s="97">
        <v>0</v>
      </c>
      <c r="DV14" s="97">
        <v>0</v>
      </c>
      <c r="DW14" s="97">
        <v>0</v>
      </c>
      <c r="DX14" s="97">
        <v>0</v>
      </c>
      <c r="DY14" s="97">
        <v>18626.57</v>
      </c>
      <c r="DZ14" s="97">
        <v>18626.57</v>
      </c>
      <c r="EA14" s="97">
        <v>18626.57</v>
      </c>
      <c r="EB14" s="97">
        <v>18626.57</v>
      </c>
    </row>
    <row r="15" spans="1:132" x14ac:dyDescent="0.35">
      <c r="A15" s="49" t="s">
        <v>70</v>
      </c>
      <c r="B15" s="66" t="s">
        <v>30</v>
      </c>
      <c r="C15" s="51" t="s">
        <v>47</v>
      </c>
      <c r="D15" s="67">
        <v>445.7</v>
      </c>
      <c r="E15" s="68">
        <v>447.51</v>
      </c>
      <c r="F15" s="68">
        <v>450.83</v>
      </c>
      <c r="G15" s="68">
        <v>452.52</v>
      </c>
      <c r="H15" s="68">
        <v>452.52</v>
      </c>
      <c r="I15" s="68">
        <v>6488.99</v>
      </c>
      <c r="J15" s="68">
        <v>6531.45</v>
      </c>
      <c r="K15" s="68">
        <v>6536.78</v>
      </c>
      <c r="L15" s="68">
        <v>6563.1</v>
      </c>
      <c r="M15" s="68">
        <v>6614.98</v>
      </c>
      <c r="N15" s="68">
        <v>6171.84</v>
      </c>
      <c r="O15" s="68">
        <v>6181.46</v>
      </c>
      <c r="P15" s="69">
        <v>6237.78</v>
      </c>
      <c r="Q15" s="69">
        <v>6352.1</v>
      </c>
      <c r="R15" s="69">
        <v>6401.35</v>
      </c>
      <c r="S15" s="69">
        <v>6410.2</v>
      </c>
      <c r="T15" s="69">
        <v>6461.58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5">
        <v>0</v>
      </c>
      <c r="AR15" s="75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2">
        <v>0</v>
      </c>
      <c r="AY15" s="72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71">
        <v>0</v>
      </c>
      <c r="BF15" s="71">
        <v>0</v>
      </c>
      <c r="BG15" s="71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97">
        <v>0</v>
      </c>
      <c r="DU15" s="97">
        <v>0</v>
      </c>
      <c r="DV15" s="97">
        <v>0</v>
      </c>
      <c r="DW15" s="97">
        <v>0</v>
      </c>
      <c r="DX15" s="97">
        <v>0</v>
      </c>
      <c r="DY15" s="97">
        <v>0</v>
      </c>
      <c r="DZ15" s="97">
        <v>0</v>
      </c>
      <c r="EA15" s="97">
        <v>0</v>
      </c>
      <c r="EB15" s="74">
        <v>0</v>
      </c>
    </row>
    <row r="16" spans="1:132" x14ac:dyDescent="0.35">
      <c r="A16" s="49" t="s">
        <v>71</v>
      </c>
      <c r="B16" s="66" t="s">
        <v>31</v>
      </c>
      <c r="C16" s="51" t="s">
        <v>48</v>
      </c>
      <c r="D16" s="67">
        <v>4000</v>
      </c>
      <c r="E16" s="68">
        <v>4000</v>
      </c>
      <c r="F16" s="68">
        <v>4000</v>
      </c>
      <c r="G16" s="68">
        <v>4000</v>
      </c>
      <c r="H16" s="68">
        <v>4000</v>
      </c>
      <c r="I16" s="68">
        <v>4000</v>
      </c>
      <c r="J16" s="68">
        <v>4000</v>
      </c>
      <c r="K16" s="68">
        <v>4000</v>
      </c>
      <c r="L16" s="68">
        <v>4000</v>
      </c>
      <c r="M16" s="68">
        <v>4000</v>
      </c>
      <c r="N16" s="68">
        <v>4000</v>
      </c>
      <c r="O16" s="68">
        <v>4000</v>
      </c>
      <c r="P16" s="69">
        <v>4000</v>
      </c>
      <c r="Q16" s="69">
        <v>4000</v>
      </c>
      <c r="R16" s="69">
        <v>4000</v>
      </c>
      <c r="S16" s="69">
        <v>4000</v>
      </c>
      <c r="T16" s="69">
        <v>4000</v>
      </c>
      <c r="U16" s="70">
        <v>4000</v>
      </c>
      <c r="V16" s="70">
        <v>4521.6000000000004</v>
      </c>
      <c r="W16" s="70">
        <v>4875.57</v>
      </c>
      <c r="X16" s="70">
        <v>4888.04</v>
      </c>
      <c r="Y16" s="70">
        <v>4888.04</v>
      </c>
      <c r="Z16" s="3">
        <v>5120.05</v>
      </c>
      <c r="AA16" s="70">
        <v>5120.05</v>
      </c>
      <c r="AB16" s="70">
        <v>5720.05</v>
      </c>
      <c r="AC16" s="70">
        <v>6320.05</v>
      </c>
      <c r="AD16" s="70">
        <v>6720.05</v>
      </c>
      <c r="AE16" s="70">
        <v>6920.05</v>
      </c>
      <c r="AF16" s="70">
        <v>7400</v>
      </c>
      <c r="AG16" s="70">
        <v>7600</v>
      </c>
      <c r="AH16" s="70">
        <v>7600</v>
      </c>
      <c r="AI16" s="70">
        <v>7800</v>
      </c>
      <c r="AJ16" s="70">
        <v>7800</v>
      </c>
      <c r="AK16" s="70">
        <v>7800</v>
      </c>
      <c r="AL16" s="70">
        <v>7800</v>
      </c>
      <c r="AM16" s="70">
        <v>7800</v>
      </c>
      <c r="AN16" s="70">
        <v>8000</v>
      </c>
      <c r="AO16" s="71">
        <v>8300</v>
      </c>
      <c r="AP16" s="70">
        <v>8500</v>
      </c>
      <c r="AQ16" s="12">
        <v>8600</v>
      </c>
      <c r="AR16" s="12">
        <v>8800</v>
      </c>
      <c r="AS16" s="72">
        <v>8900</v>
      </c>
      <c r="AT16" s="72">
        <v>9000</v>
      </c>
      <c r="AU16" s="72">
        <v>9100</v>
      </c>
      <c r="AV16" s="72">
        <v>8855.19</v>
      </c>
      <c r="AW16" s="72">
        <v>9555.19</v>
      </c>
      <c r="AX16" s="72">
        <v>9555.19</v>
      </c>
      <c r="AY16" s="72">
        <v>9800</v>
      </c>
      <c r="AZ16" s="6">
        <v>9800</v>
      </c>
      <c r="BA16" s="6">
        <v>9900</v>
      </c>
      <c r="BB16" s="6">
        <v>9900</v>
      </c>
      <c r="BC16" s="6">
        <v>10000</v>
      </c>
      <c r="BD16" s="6">
        <v>10100</v>
      </c>
      <c r="BE16" s="71">
        <v>10100</v>
      </c>
      <c r="BF16" s="71">
        <v>10200</v>
      </c>
      <c r="BG16" s="71">
        <v>10300</v>
      </c>
      <c r="BH16" s="73">
        <v>10300</v>
      </c>
      <c r="BI16" s="73">
        <v>10300</v>
      </c>
      <c r="BJ16" s="73">
        <v>10300</v>
      </c>
      <c r="BK16" s="73">
        <v>10300</v>
      </c>
      <c r="BL16" s="73">
        <v>10300</v>
      </c>
      <c r="BM16" s="73">
        <v>10300</v>
      </c>
      <c r="BN16" s="73">
        <v>10300</v>
      </c>
      <c r="BO16" s="73">
        <v>10300</v>
      </c>
      <c r="BP16" s="73">
        <v>10300</v>
      </c>
      <c r="BQ16" s="73">
        <v>10300</v>
      </c>
      <c r="BR16" s="73">
        <v>10300</v>
      </c>
      <c r="BS16" s="73">
        <v>10300</v>
      </c>
      <c r="BT16" s="73">
        <v>10300</v>
      </c>
      <c r="BU16" s="73">
        <v>10300</v>
      </c>
      <c r="BV16" s="73">
        <v>10300</v>
      </c>
      <c r="BW16" s="73">
        <v>10300</v>
      </c>
      <c r="BX16" s="73">
        <v>10300</v>
      </c>
      <c r="BY16" s="73">
        <v>10300</v>
      </c>
      <c r="BZ16" s="73">
        <v>10300</v>
      </c>
      <c r="CA16" s="73">
        <v>10300</v>
      </c>
      <c r="CB16" s="73">
        <v>10300</v>
      </c>
      <c r="CC16" s="73">
        <v>10300</v>
      </c>
      <c r="CD16" s="73">
        <v>10300</v>
      </c>
      <c r="CE16" s="73">
        <v>10300</v>
      </c>
      <c r="CF16" s="73">
        <v>10300</v>
      </c>
      <c r="CG16" s="73">
        <v>10300</v>
      </c>
      <c r="CH16" s="73">
        <v>10300</v>
      </c>
      <c r="CI16" s="73">
        <v>10300</v>
      </c>
      <c r="CJ16" s="74">
        <v>10109.41</v>
      </c>
      <c r="CK16" s="74">
        <v>10109.41</v>
      </c>
      <c r="CL16" s="74">
        <v>10109.41</v>
      </c>
      <c r="CM16" s="74">
        <v>10109.41</v>
      </c>
      <c r="CN16" s="74">
        <v>10109.41</v>
      </c>
      <c r="CO16" s="74">
        <v>10109.41</v>
      </c>
      <c r="CP16" s="74">
        <v>10300</v>
      </c>
      <c r="CQ16" s="74">
        <v>10300</v>
      </c>
      <c r="CR16" s="74">
        <v>10300</v>
      </c>
      <c r="CS16" s="74">
        <v>10300</v>
      </c>
      <c r="CT16" s="74">
        <v>10300</v>
      </c>
      <c r="CU16" s="74">
        <v>10300</v>
      </c>
      <c r="CV16" s="74">
        <v>10300</v>
      </c>
      <c r="CW16" s="74">
        <v>10300</v>
      </c>
      <c r="CX16" s="74">
        <v>10300</v>
      </c>
      <c r="CY16" s="74">
        <v>10300</v>
      </c>
      <c r="CZ16" s="74">
        <v>10300</v>
      </c>
      <c r="DA16" s="74">
        <v>10300</v>
      </c>
      <c r="DB16" s="74">
        <v>10300</v>
      </c>
      <c r="DC16" s="74">
        <v>10300</v>
      </c>
      <c r="DD16" s="74">
        <v>10300</v>
      </c>
      <c r="DE16" s="74">
        <v>10300</v>
      </c>
      <c r="DF16" s="74">
        <v>10300</v>
      </c>
      <c r="DG16" s="74">
        <v>10300</v>
      </c>
      <c r="DH16" s="74">
        <v>10300</v>
      </c>
      <c r="DI16" s="74">
        <v>10300</v>
      </c>
      <c r="DJ16" s="74">
        <v>10300</v>
      </c>
      <c r="DK16" s="74">
        <v>10300</v>
      </c>
      <c r="DL16" s="74">
        <v>10300</v>
      </c>
      <c r="DM16" s="74">
        <v>10300</v>
      </c>
      <c r="DN16" s="74">
        <v>10300</v>
      </c>
      <c r="DO16" s="74">
        <v>10300</v>
      </c>
      <c r="DP16" s="74">
        <v>10300</v>
      </c>
      <c r="DQ16" s="74">
        <v>10300</v>
      </c>
      <c r="DR16" s="74">
        <v>10300</v>
      </c>
      <c r="DS16" s="74">
        <v>10300</v>
      </c>
      <c r="DT16" s="97">
        <v>10300</v>
      </c>
      <c r="DU16" s="97">
        <v>10300</v>
      </c>
      <c r="DV16" s="97">
        <v>10300</v>
      </c>
      <c r="DW16" s="97">
        <v>10300</v>
      </c>
      <c r="DX16" s="97">
        <v>10300</v>
      </c>
      <c r="DY16" s="97">
        <v>10300</v>
      </c>
      <c r="DZ16" s="97">
        <v>10300</v>
      </c>
      <c r="EA16" s="97">
        <v>10300</v>
      </c>
      <c r="EB16" s="97">
        <v>10300</v>
      </c>
    </row>
    <row r="17" spans="1:132" x14ac:dyDescent="0.35">
      <c r="A17" s="49" t="s">
        <v>111</v>
      </c>
      <c r="B17" s="66" t="s">
        <v>33</v>
      </c>
      <c r="C17" s="51" t="s">
        <v>112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>
        <v>1925</v>
      </c>
      <c r="AH17" s="70">
        <v>1925</v>
      </c>
      <c r="AI17" s="70">
        <v>1936.42</v>
      </c>
      <c r="AJ17" s="70">
        <v>1934.93</v>
      </c>
      <c r="AK17" s="70">
        <v>1934.93</v>
      </c>
      <c r="AL17" s="70">
        <v>1933.4</v>
      </c>
      <c r="AM17" s="70">
        <v>1850.5</v>
      </c>
      <c r="AN17" s="70">
        <v>1849.72</v>
      </c>
      <c r="AO17" s="71">
        <v>1849.72</v>
      </c>
      <c r="AP17" s="70">
        <v>1848.15</v>
      </c>
      <c r="AQ17" s="12">
        <v>1847.36</v>
      </c>
      <c r="AR17" s="12">
        <v>1846.56</v>
      </c>
      <c r="AS17" s="51">
        <v>6.37</v>
      </c>
      <c r="AT17" s="51">
        <v>4.7699999999999996</v>
      </c>
      <c r="AU17" s="51">
        <v>2.69</v>
      </c>
      <c r="AV17" s="51">
        <v>2.69</v>
      </c>
      <c r="AW17" s="51">
        <v>2.69</v>
      </c>
      <c r="AX17">
        <v>2.68</v>
      </c>
      <c r="AY17" s="77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71">
        <v>0</v>
      </c>
      <c r="BF17" s="71">
        <v>0</v>
      </c>
      <c r="BG17" s="71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50.21</v>
      </c>
      <c r="BR17" s="73">
        <v>50.21</v>
      </c>
      <c r="BS17" s="73">
        <v>50.21</v>
      </c>
      <c r="BT17" s="73">
        <v>50.21</v>
      </c>
      <c r="BU17" s="73">
        <v>50.21</v>
      </c>
      <c r="BV17" s="73">
        <v>50.21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97">
        <v>0</v>
      </c>
      <c r="DU17" s="97">
        <v>0</v>
      </c>
      <c r="DV17" s="97">
        <v>0</v>
      </c>
      <c r="DW17" s="97">
        <v>0</v>
      </c>
      <c r="DX17" s="97">
        <v>0</v>
      </c>
      <c r="DY17" s="97">
        <v>0</v>
      </c>
      <c r="DZ17" s="97">
        <v>0</v>
      </c>
      <c r="EA17" s="97">
        <v>0</v>
      </c>
      <c r="EB17" s="74">
        <v>0</v>
      </c>
    </row>
    <row r="18" spans="1:132" x14ac:dyDescent="0.35">
      <c r="A18" s="49" t="s">
        <v>72</v>
      </c>
      <c r="B18" s="78" t="s">
        <v>32</v>
      </c>
      <c r="C18" s="51" t="s">
        <v>49</v>
      </c>
      <c r="D18" s="61">
        <f t="shared" ref="D18:AM18" si="20">SUM(D19:D22)</f>
        <v>989113.49000000011</v>
      </c>
      <c r="E18" s="62">
        <f t="shared" si="20"/>
        <v>990322.21</v>
      </c>
      <c r="F18" s="62">
        <f t="shared" si="20"/>
        <v>991721.32</v>
      </c>
      <c r="G18" s="62">
        <f t="shared" si="20"/>
        <v>792549.04999999993</v>
      </c>
      <c r="H18" s="62">
        <f t="shared" si="20"/>
        <v>792549.04999999993</v>
      </c>
      <c r="I18" s="62">
        <f t="shared" si="20"/>
        <v>787944.84</v>
      </c>
      <c r="J18" s="62">
        <f t="shared" si="20"/>
        <v>788627.96000000008</v>
      </c>
      <c r="K18" s="62">
        <f t="shared" si="20"/>
        <v>788847.77000000014</v>
      </c>
      <c r="L18" s="62">
        <f t="shared" si="20"/>
        <v>789271.44000000018</v>
      </c>
      <c r="M18" s="62">
        <f t="shared" si="20"/>
        <v>789929.83000000007</v>
      </c>
      <c r="N18" s="62">
        <f t="shared" si="20"/>
        <v>805938.21000000008</v>
      </c>
      <c r="O18" s="62">
        <f t="shared" si="20"/>
        <v>805763.65</v>
      </c>
      <c r="P18" s="54">
        <f t="shared" si="20"/>
        <v>806266.8600000001</v>
      </c>
      <c r="Q18" s="54">
        <f t="shared" si="20"/>
        <v>740891.34</v>
      </c>
      <c r="R18" s="54">
        <f t="shared" si="20"/>
        <v>741478.66</v>
      </c>
      <c r="S18" s="54">
        <f t="shared" si="20"/>
        <v>741986.47000000009</v>
      </c>
      <c r="T18" s="54">
        <f t="shared" si="20"/>
        <v>755397.69000000006</v>
      </c>
      <c r="U18" s="55">
        <f t="shared" si="20"/>
        <v>755939.87</v>
      </c>
      <c r="V18" s="55">
        <f t="shared" si="20"/>
        <v>756704.27</v>
      </c>
      <c r="W18" s="55">
        <f t="shared" si="20"/>
        <v>761001.11</v>
      </c>
      <c r="X18" s="55">
        <f t="shared" si="20"/>
        <v>760940.65</v>
      </c>
      <c r="Y18" s="55">
        <f t="shared" si="20"/>
        <v>761107.48999999987</v>
      </c>
      <c r="Z18" s="55">
        <f t="shared" si="20"/>
        <v>766969.1399999999</v>
      </c>
      <c r="AA18" s="55">
        <f t="shared" si="20"/>
        <v>767407.07</v>
      </c>
      <c r="AB18" s="55">
        <f t="shared" si="20"/>
        <v>780747.25</v>
      </c>
      <c r="AC18" s="55">
        <f t="shared" si="20"/>
        <v>802353.4800000001</v>
      </c>
      <c r="AD18" s="55">
        <f t="shared" si="20"/>
        <v>801759.88000000012</v>
      </c>
      <c r="AE18" s="55">
        <f t="shared" si="20"/>
        <v>743402.89399999997</v>
      </c>
      <c r="AF18" s="55">
        <f t="shared" si="20"/>
        <v>744573.73499999999</v>
      </c>
      <c r="AG18" s="55">
        <f t="shared" si="20"/>
        <v>674598.7699999999</v>
      </c>
      <c r="AH18" s="55">
        <f t="shared" si="20"/>
        <v>678934.25999999989</v>
      </c>
      <c r="AI18" s="55">
        <f t="shared" si="20"/>
        <v>684273.97</v>
      </c>
      <c r="AJ18" s="55">
        <f t="shared" si="20"/>
        <v>684611.69</v>
      </c>
      <c r="AK18" s="55">
        <f t="shared" si="20"/>
        <v>690011.32</v>
      </c>
      <c r="AL18" s="55">
        <f t="shared" si="20"/>
        <v>683623.72000000009</v>
      </c>
      <c r="AM18" s="55">
        <f t="shared" si="20"/>
        <v>688652.66</v>
      </c>
      <c r="AN18" s="55">
        <v>695725.39</v>
      </c>
      <c r="AO18" s="56">
        <v>701733.66</v>
      </c>
      <c r="AP18" s="9">
        <f>SUM(AP19:AP22)</f>
        <v>705739.45000000007</v>
      </c>
      <c r="AQ18" s="9">
        <f>SUM(AQ19:AQ22)</f>
        <v>683426.45000000007</v>
      </c>
      <c r="AR18" s="9">
        <v>689860.37</v>
      </c>
      <c r="AS18" s="79">
        <f t="shared" ref="AS18:DD18" si="21">SUM(AS19:AS22)</f>
        <v>681961.76</v>
      </c>
      <c r="AT18" s="79">
        <f t="shared" si="21"/>
        <v>686253.77364051004</v>
      </c>
      <c r="AU18" s="79">
        <f t="shared" si="21"/>
        <v>693883.75000000012</v>
      </c>
      <c r="AV18" s="79">
        <f t="shared" si="21"/>
        <v>694200.84000000008</v>
      </c>
      <c r="AW18" s="79">
        <f t="shared" si="21"/>
        <v>697420.50000000012</v>
      </c>
      <c r="AX18" s="79">
        <f t="shared" si="21"/>
        <v>697211.31</v>
      </c>
      <c r="AY18" s="79">
        <f t="shared" si="21"/>
        <v>697236.47999999998</v>
      </c>
      <c r="AZ18" s="9">
        <f t="shared" si="21"/>
        <v>702572.12</v>
      </c>
      <c r="BA18" s="9">
        <f t="shared" si="21"/>
        <v>710079.15</v>
      </c>
      <c r="BB18" s="9">
        <f t="shared" si="21"/>
        <v>710395.73</v>
      </c>
      <c r="BC18" s="9">
        <f t="shared" si="21"/>
        <v>723702.08</v>
      </c>
      <c r="BD18" s="9">
        <f t="shared" si="21"/>
        <v>724023.95</v>
      </c>
      <c r="BE18" s="56">
        <f t="shared" si="21"/>
        <v>724541.94000000006</v>
      </c>
      <c r="BF18" s="56">
        <f t="shared" si="21"/>
        <v>643142.22</v>
      </c>
      <c r="BG18" s="56">
        <f t="shared" si="21"/>
        <v>643507.61</v>
      </c>
      <c r="BH18" s="63">
        <f t="shared" si="21"/>
        <v>644102.98</v>
      </c>
      <c r="BI18" s="63">
        <f t="shared" si="21"/>
        <v>644703.78</v>
      </c>
      <c r="BJ18" s="63">
        <f t="shared" si="21"/>
        <v>644709.82000000007</v>
      </c>
      <c r="BK18" s="63">
        <f t="shared" si="21"/>
        <v>662007.39</v>
      </c>
      <c r="BL18" s="63">
        <f t="shared" si="21"/>
        <v>664728.33000000007</v>
      </c>
      <c r="BM18" s="63">
        <f t="shared" si="21"/>
        <v>643281.56000000006</v>
      </c>
      <c r="BN18" s="63">
        <f t="shared" si="21"/>
        <v>643401.29</v>
      </c>
      <c r="BO18" s="63">
        <f t="shared" si="21"/>
        <v>650287.34000000008</v>
      </c>
      <c r="BP18" s="63">
        <f t="shared" si="21"/>
        <v>650905.29</v>
      </c>
      <c r="BQ18" s="63">
        <f t="shared" si="21"/>
        <v>659101.37</v>
      </c>
      <c r="BR18" s="63">
        <f t="shared" si="21"/>
        <v>738793.88</v>
      </c>
      <c r="BS18" s="63">
        <f t="shared" si="21"/>
        <v>739138.02</v>
      </c>
      <c r="BT18" s="63">
        <f t="shared" si="21"/>
        <v>739637.95000000007</v>
      </c>
      <c r="BU18" s="63">
        <f t="shared" si="21"/>
        <v>740264.62</v>
      </c>
      <c r="BV18" s="63">
        <f t="shared" si="21"/>
        <v>734478.71000000008</v>
      </c>
      <c r="BW18" s="63">
        <f t="shared" si="21"/>
        <v>742715.83000000007</v>
      </c>
      <c r="BX18" s="63">
        <f t="shared" si="21"/>
        <v>742157.96000000008</v>
      </c>
      <c r="BY18" s="63">
        <f t="shared" si="21"/>
        <v>752608.81</v>
      </c>
      <c r="BZ18" s="63">
        <f t="shared" si="21"/>
        <v>752963.44000000006</v>
      </c>
      <c r="CA18" s="63">
        <f t="shared" si="21"/>
        <v>763756.93</v>
      </c>
      <c r="CB18" s="63">
        <f t="shared" si="21"/>
        <v>769576.12</v>
      </c>
      <c r="CC18" s="63">
        <f t="shared" si="21"/>
        <v>770442.41</v>
      </c>
      <c r="CD18" s="63">
        <f t="shared" si="21"/>
        <v>776519.6235407301</v>
      </c>
      <c r="CE18" s="63">
        <f t="shared" si="21"/>
        <v>787703.81</v>
      </c>
      <c r="CF18" s="63">
        <f t="shared" si="21"/>
        <v>794057.25</v>
      </c>
      <c r="CG18" s="63">
        <f t="shared" si="21"/>
        <v>751635.79</v>
      </c>
      <c r="CH18" s="63">
        <f t="shared" si="21"/>
        <v>752247.09</v>
      </c>
      <c r="CI18" s="63">
        <f t="shared" si="21"/>
        <v>705329.5</v>
      </c>
      <c r="CJ18" s="64">
        <f t="shared" si="21"/>
        <v>706249.26</v>
      </c>
      <c r="CK18" s="64">
        <f t="shared" si="21"/>
        <v>712334.94000000006</v>
      </c>
      <c r="CL18" s="64">
        <f t="shared" si="21"/>
        <v>712654.15</v>
      </c>
      <c r="CM18" s="64">
        <f t="shared" si="21"/>
        <v>724164.74</v>
      </c>
      <c r="CN18" s="64">
        <f t="shared" si="21"/>
        <v>735350.64</v>
      </c>
      <c r="CO18" s="64">
        <f t="shared" si="21"/>
        <v>736067.94000000006</v>
      </c>
      <c r="CP18" s="64">
        <f t="shared" si="21"/>
        <v>743001.76</v>
      </c>
      <c r="CQ18" s="64">
        <f t="shared" si="21"/>
        <v>744109.55</v>
      </c>
      <c r="CR18" s="64">
        <f t="shared" si="21"/>
        <v>745024.16</v>
      </c>
      <c r="CS18" s="64">
        <f t="shared" si="21"/>
        <v>762408.3</v>
      </c>
      <c r="CT18" s="64">
        <f t="shared" si="21"/>
        <v>762397.53</v>
      </c>
      <c r="CU18" s="64">
        <f t="shared" si="21"/>
        <v>788947.47</v>
      </c>
      <c r="CV18" s="64">
        <f t="shared" si="21"/>
        <v>793369.69000000006</v>
      </c>
      <c r="CW18" s="64">
        <f t="shared" si="21"/>
        <v>801537.94000000006</v>
      </c>
      <c r="CX18" s="64">
        <f t="shared" si="21"/>
        <v>801785.42</v>
      </c>
      <c r="CY18" s="64">
        <f t="shared" si="21"/>
        <v>807549.19000000006</v>
      </c>
      <c r="CZ18" s="64">
        <f t="shared" si="21"/>
        <v>797793.27600000007</v>
      </c>
      <c r="DA18" s="64">
        <f t="shared" si="21"/>
        <v>798684.41</v>
      </c>
      <c r="DB18" s="64">
        <f t="shared" si="21"/>
        <v>775775.18</v>
      </c>
      <c r="DC18" s="64">
        <f t="shared" si="21"/>
        <v>776416.35</v>
      </c>
      <c r="DD18" s="64">
        <f t="shared" si="21"/>
        <v>777411.10201464861</v>
      </c>
      <c r="DE18" s="64">
        <f t="shared" ref="DE18:DU18" si="22">SUM(DE19:DE22)</f>
        <v>778385.67</v>
      </c>
      <c r="DF18" s="64">
        <f t="shared" si="22"/>
        <v>764660.49</v>
      </c>
      <c r="DG18" s="64">
        <f t="shared" si="22"/>
        <v>672817.4</v>
      </c>
      <c r="DH18" s="64">
        <f t="shared" si="22"/>
        <v>639938.62</v>
      </c>
      <c r="DI18" s="64">
        <f t="shared" si="22"/>
        <v>647867.52</v>
      </c>
      <c r="DJ18" s="64">
        <f t="shared" si="22"/>
        <v>648030.22400000005</v>
      </c>
      <c r="DK18" s="64">
        <f t="shared" si="22"/>
        <v>653698.24</v>
      </c>
      <c r="DL18" s="64">
        <f t="shared" si="22"/>
        <v>661462.52</v>
      </c>
      <c r="DM18" s="64">
        <f t="shared" si="22"/>
        <v>662478.38</v>
      </c>
      <c r="DN18" s="64">
        <f t="shared" si="22"/>
        <v>673403.58000000007</v>
      </c>
      <c r="DO18" s="64">
        <f t="shared" si="22"/>
        <v>673595.33000000007</v>
      </c>
      <c r="DP18" s="64">
        <f t="shared" si="22"/>
        <v>674086.54500000004</v>
      </c>
      <c r="DQ18" s="64">
        <f t="shared" si="22"/>
        <v>693327.33400000003</v>
      </c>
      <c r="DR18" s="64">
        <f t="shared" si="22"/>
        <v>728392.2300000001</v>
      </c>
      <c r="DS18" s="64">
        <f t="shared" si="22"/>
        <v>774392.98</v>
      </c>
      <c r="DT18" s="98">
        <f t="shared" si="22"/>
        <v>802126.12</v>
      </c>
      <c r="DU18" s="98">
        <f t="shared" si="22"/>
        <v>802126.12</v>
      </c>
      <c r="DV18" s="98">
        <f t="shared" ref="DV18:DW18" si="23">SUM(DV19:DV22)</f>
        <v>815517.09</v>
      </c>
      <c r="DW18" s="98">
        <f t="shared" si="23"/>
        <v>826744.82000000007</v>
      </c>
      <c r="DX18" s="98">
        <f t="shared" ref="DX18:DY18" si="24">SUM(DX19:DX22)</f>
        <v>839752.45000000007</v>
      </c>
      <c r="DY18" s="98">
        <f t="shared" si="24"/>
        <v>821537.19000000006</v>
      </c>
      <c r="DZ18" s="98">
        <f t="shared" ref="DZ18:EA18" si="25">SUM(DZ19:DZ22)</f>
        <v>837064.8</v>
      </c>
      <c r="EA18" s="98">
        <f t="shared" si="25"/>
        <v>852324.28</v>
      </c>
      <c r="EB18" s="98">
        <f t="shared" ref="EB18" si="26">SUM(EB19:EB22)</f>
        <v>853414.21000000008</v>
      </c>
    </row>
    <row r="19" spans="1:132" x14ac:dyDescent="0.35">
      <c r="A19" s="49" t="s">
        <v>73</v>
      </c>
      <c r="B19" s="66" t="s">
        <v>29</v>
      </c>
      <c r="C19" s="51" t="s">
        <v>50</v>
      </c>
      <c r="D19" s="67">
        <f>791642.34-D14</f>
        <v>728993.25</v>
      </c>
      <c r="E19" s="68">
        <f>791091.15-E14</f>
        <v>729157.29</v>
      </c>
      <c r="F19" s="68">
        <f>791223.59-F14</f>
        <v>729289.73</v>
      </c>
      <c r="G19" s="68">
        <f>782211.1-G14</f>
        <v>721779.23</v>
      </c>
      <c r="H19" s="68">
        <f>782211.1-H14</f>
        <v>721779.23</v>
      </c>
      <c r="I19" s="68">
        <f>782832.35-I14</f>
        <v>722404.28</v>
      </c>
      <c r="J19" s="68">
        <f>783106.69-J14</f>
        <v>722678.62</v>
      </c>
      <c r="K19" s="68">
        <f>783275.08-K14</f>
        <v>722847.01</v>
      </c>
      <c r="L19" s="68">
        <f>783445.15-L14</f>
        <v>723017.08000000007</v>
      </c>
      <c r="M19" s="68">
        <f>783603.13-M14</f>
        <v>723175.06</v>
      </c>
      <c r="N19" s="68">
        <f>738932.01-N14</f>
        <v>738928.64000000001</v>
      </c>
      <c r="O19" s="68">
        <f>738798.55-O14</f>
        <v>738795.18</v>
      </c>
      <c r="P19" s="69">
        <f>738717.09-P14</f>
        <v>738713.72</v>
      </c>
      <c r="Q19" s="69">
        <f>744752.46-Q14</f>
        <v>672150.19</v>
      </c>
      <c r="R19" s="69">
        <f>744828.59-R14</f>
        <v>672226.32</v>
      </c>
      <c r="S19" s="69">
        <f>745245.81-S14</f>
        <v>672643.54</v>
      </c>
      <c r="T19" s="69">
        <f>753212.02-T14</f>
        <v>685520.75</v>
      </c>
      <c r="U19" s="70">
        <f>750328.04-U14</f>
        <v>685836.77</v>
      </c>
      <c r="V19" s="70">
        <f>750653.08-V14</f>
        <v>686161.80999999994</v>
      </c>
      <c r="W19" s="70">
        <f>758985.35-W14</f>
        <v>690494.08</v>
      </c>
      <c r="X19" s="70">
        <f>759241.43-X14</f>
        <v>690750.16</v>
      </c>
      <c r="Y19" s="70">
        <f>759503.69-Y14</f>
        <v>691012.41999999993</v>
      </c>
      <c r="Z19" s="70">
        <f>772935.2-Z14</f>
        <v>696956.42999999993</v>
      </c>
      <c r="AA19" s="70">
        <f>773218.48-AA14</f>
        <v>697239.71</v>
      </c>
      <c r="AB19" s="70">
        <f>786173.08-AB14</f>
        <v>710194.30999999994</v>
      </c>
      <c r="AC19" s="70">
        <f>742900.92-AC14</f>
        <v>731410.05</v>
      </c>
      <c r="AD19" s="70">
        <f>743108.92-AD14</f>
        <v>731618.05</v>
      </c>
      <c r="AE19" s="70">
        <f>743403.24-AE14</f>
        <v>673474.08</v>
      </c>
      <c r="AF19" s="70">
        <f>743822.9-AF14</f>
        <v>673893.74</v>
      </c>
      <c r="AG19" s="70">
        <f>744156.08-AG14</f>
        <v>674226.91999999993</v>
      </c>
      <c r="AH19" s="70">
        <f>748491.57-AH14</f>
        <v>678562.40999999992</v>
      </c>
      <c r="AI19" s="70">
        <f>749843.46-AI14</f>
        <v>683914.29999999993</v>
      </c>
      <c r="AJ19" s="70">
        <f>750181.19-AJ14</f>
        <v>684252.02999999991</v>
      </c>
      <c r="AK19" s="70">
        <f>755580.82-AK14</f>
        <v>689651.65999999992</v>
      </c>
      <c r="AL19" s="70">
        <f>741825.39-AL14</f>
        <v>683264.06</v>
      </c>
      <c r="AM19" s="70">
        <f>746912.59-AM14</f>
        <v>688351.26</v>
      </c>
      <c r="AN19" s="70">
        <v>695423.99</v>
      </c>
      <c r="AO19" s="71">
        <v>701432.26</v>
      </c>
      <c r="AP19" s="5">
        <v>705438.05</v>
      </c>
      <c r="AQ19" s="11">
        <v>683125.05</v>
      </c>
      <c r="AR19" s="11">
        <v>689558.97</v>
      </c>
      <c r="AS19" s="71">
        <v>681710.57</v>
      </c>
      <c r="AT19" s="71">
        <v>686002.58364050998</v>
      </c>
      <c r="AU19" s="71">
        <v>693632.56</v>
      </c>
      <c r="AV19" s="15">
        <v>693949.65</v>
      </c>
      <c r="AW19" s="15">
        <v>697169.31</v>
      </c>
      <c r="AX19" s="72">
        <v>696960.12</v>
      </c>
      <c r="AY19" s="72">
        <v>697035.5</v>
      </c>
      <c r="AZ19" s="6">
        <v>702371.14</v>
      </c>
      <c r="BA19" s="6">
        <v>709878.17</v>
      </c>
      <c r="BB19" s="6">
        <v>710194.75</v>
      </c>
      <c r="BC19" s="6">
        <v>723501.1</v>
      </c>
      <c r="BD19" s="6">
        <v>723822.97</v>
      </c>
      <c r="BE19" s="5">
        <v>724391.16</v>
      </c>
      <c r="BF19" s="5">
        <v>642991.43999999994</v>
      </c>
      <c r="BG19" s="5">
        <v>643356.82999999996</v>
      </c>
      <c r="BH19" s="20">
        <v>643952.19999999995</v>
      </c>
      <c r="BI19" s="20">
        <v>644553</v>
      </c>
      <c r="BJ19" s="20">
        <v>644559.04</v>
      </c>
      <c r="BK19" s="20">
        <v>661856.61</v>
      </c>
      <c r="BL19" s="20">
        <v>664627.76</v>
      </c>
      <c r="BM19" s="20">
        <v>643180.99</v>
      </c>
      <c r="BN19" s="20">
        <v>643300.72</v>
      </c>
      <c r="BO19" s="20">
        <v>650186.77</v>
      </c>
      <c r="BP19" s="20">
        <v>650804.72</v>
      </c>
      <c r="BQ19" s="20">
        <v>659101.22</v>
      </c>
      <c r="BR19" s="20">
        <v>738793.73</v>
      </c>
      <c r="BS19" s="20">
        <v>739137.87</v>
      </c>
      <c r="BT19" s="20">
        <v>739637.8</v>
      </c>
      <c r="BU19" s="20">
        <v>740264.47</v>
      </c>
      <c r="BV19" s="20">
        <v>734478.56</v>
      </c>
      <c r="BW19" s="20">
        <v>742715.68</v>
      </c>
      <c r="BX19" s="20">
        <v>742157.81</v>
      </c>
      <c r="BY19" s="20">
        <v>752608.66</v>
      </c>
      <c r="BZ19" s="73">
        <v>752963.29</v>
      </c>
      <c r="CA19" s="73">
        <v>763756.78</v>
      </c>
      <c r="CB19" s="73">
        <v>769575.97</v>
      </c>
      <c r="CC19" s="73">
        <v>770442.26</v>
      </c>
      <c r="CD19" s="73">
        <v>776519.47354073008</v>
      </c>
      <c r="CE19" s="73">
        <v>787703.66</v>
      </c>
      <c r="CF19" s="73">
        <v>794057.1</v>
      </c>
      <c r="CG19" s="73">
        <v>751635.64</v>
      </c>
      <c r="CH19" s="73">
        <v>752246.94</v>
      </c>
      <c r="CI19" s="73">
        <v>705329.35</v>
      </c>
      <c r="CJ19" s="74">
        <v>706249.11</v>
      </c>
      <c r="CK19" s="74">
        <v>712334.79</v>
      </c>
      <c r="CL19" s="74">
        <v>712654</v>
      </c>
      <c r="CM19" s="74">
        <v>724164.59</v>
      </c>
      <c r="CN19" s="74">
        <v>735350.49</v>
      </c>
      <c r="CO19" s="74">
        <v>736067.79</v>
      </c>
      <c r="CP19" s="74">
        <v>743001.61</v>
      </c>
      <c r="CQ19" s="74">
        <v>744109.4</v>
      </c>
      <c r="CR19" s="74">
        <v>745024.01</v>
      </c>
      <c r="CS19" s="74">
        <v>762408.15</v>
      </c>
      <c r="CT19" s="74">
        <v>762397.38</v>
      </c>
      <c r="CU19" s="74">
        <v>788947.32</v>
      </c>
      <c r="CV19" s="74">
        <v>793369.54</v>
      </c>
      <c r="CW19" s="74">
        <v>801537.79</v>
      </c>
      <c r="CX19" s="74">
        <v>801785.27</v>
      </c>
      <c r="CY19" s="74">
        <v>807549.04</v>
      </c>
      <c r="CZ19" s="74">
        <v>797793.12600000005</v>
      </c>
      <c r="DA19" s="74">
        <v>798684.26</v>
      </c>
      <c r="DB19" s="74">
        <v>775775.03</v>
      </c>
      <c r="DC19" s="74">
        <v>776416.2</v>
      </c>
      <c r="DD19" s="74">
        <v>777410.95201464859</v>
      </c>
      <c r="DE19" s="74">
        <v>778385.52</v>
      </c>
      <c r="DF19" s="74">
        <v>764660.34</v>
      </c>
      <c r="DG19" s="74">
        <v>672817.25</v>
      </c>
      <c r="DH19" s="74">
        <v>639938.47</v>
      </c>
      <c r="DI19" s="74">
        <v>647867.37</v>
      </c>
      <c r="DJ19" s="74">
        <v>648030.07400000002</v>
      </c>
      <c r="DK19" s="74">
        <v>653698.09</v>
      </c>
      <c r="DL19" s="74">
        <v>661462.37</v>
      </c>
      <c r="DM19" s="74">
        <v>662478.23</v>
      </c>
      <c r="DN19" s="74">
        <v>673403.43</v>
      </c>
      <c r="DO19" s="74">
        <v>673595.18</v>
      </c>
      <c r="DP19" s="74">
        <v>674086.39500000002</v>
      </c>
      <c r="DQ19" s="74">
        <v>693327.18400000001</v>
      </c>
      <c r="DR19" s="74">
        <v>728392.08000000007</v>
      </c>
      <c r="DS19" s="74">
        <v>774392.83</v>
      </c>
      <c r="DT19" s="97">
        <v>802125.97</v>
      </c>
      <c r="DU19" s="97">
        <v>802125.97</v>
      </c>
      <c r="DV19" s="97">
        <v>815516.94</v>
      </c>
      <c r="DW19" s="97">
        <v>826744.67</v>
      </c>
      <c r="DX19" s="97">
        <v>839752.3</v>
      </c>
      <c r="DY19" s="97">
        <v>821537.04</v>
      </c>
      <c r="DZ19" s="97">
        <v>837064.65</v>
      </c>
      <c r="EA19" s="97">
        <v>852324.13</v>
      </c>
      <c r="EB19" s="97">
        <v>853414.06</v>
      </c>
    </row>
    <row r="20" spans="1:132" x14ac:dyDescent="0.35">
      <c r="A20" s="49" t="s">
        <v>74</v>
      </c>
      <c r="B20" s="66" t="s">
        <v>30</v>
      </c>
      <c r="C20" s="51" t="s">
        <v>51</v>
      </c>
      <c r="D20" s="67">
        <f>257548.98-D15</f>
        <v>257103.28</v>
      </c>
      <c r="E20" s="68">
        <f>258596.08-E15</f>
        <v>258148.56999999998</v>
      </c>
      <c r="F20" s="68">
        <f>259866.68-F15</f>
        <v>259415.85</v>
      </c>
      <c r="G20" s="68">
        <f>68207.22-G15</f>
        <v>67754.7</v>
      </c>
      <c r="H20" s="68">
        <f>68207.22-H15</f>
        <v>67754.7</v>
      </c>
      <c r="I20" s="68">
        <f>69156.07-I15</f>
        <v>62667.080000000009</v>
      </c>
      <c r="J20" s="68">
        <f>69608.58-J15</f>
        <v>63077.130000000005</v>
      </c>
      <c r="K20" s="68">
        <f>69665.33-K15</f>
        <v>63128.55</v>
      </c>
      <c r="L20" s="68">
        <f>69945.89-L15</f>
        <v>63382.79</v>
      </c>
      <c r="M20" s="68">
        <f>70498.82-M15</f>
        <v>63883.840000000011</v>
      </c>
      <c r="N20" s="68">
        <f>70311.13-N15</f>
        <v>64139.290000000008</v>
      </c>
      <c r="O20" s="68">
        <f>70420.7-O15</f>
        <v>64239.24</v>
      </c>
      <c r="P20" s="69">
        <f>71062.35-P15</f>
        <v>64824.570000000007</v>
      </c>
      <c r="Q20" s="69">
        <f>72364.68-Q15</f>
        <v>66012.579999999987</v>
      </c>
      <c r="R20" s="69">
        <f>72925.78-R15</f>
        <v>66524.429999999993</v>
      </c>
      <c r="S20" s="69">
        <f>73026.58-S15</f>
        <v>66616.38</v>
      </c>
      <c r="T20" s="69">
        <f>73611.97-T15</f>
        <v>67150.39</v>
      </c>
      <c r="U20" s="70">
        <f>67517.63-U15</f>
        <v>67517.63</v>
      </c>
      <c r="V20" s="70">
        <f>67957.68-V15</f>
        <v>67957.679999999993</v>
      </c>
      <c r="W20" s="70">
        <f>67922.25-W15</f>
        <v>67922.25</v>
      </c>
      <c r="X20" s="70">
        <v>67607.11</v>
      </c>
      <c r="Y20" s="70">
        <v>67511.679999999993</v>
      </c>
      <c r="Z20" s="70">
        <v>67430.73</v>
      </c>
      <c r="AA20" s="70">
        <v>67726.490000000005</v>
      </c>
      <c r="AB20" s="70">
        <v>68112.800000000003</v>
      </c>
      <c r="AC20" s="70">
        <v>68504</v>
      </c>
      <c r="AD20" s="70">
        <f>67703.12-AD15</f>
        <v>67703.12</v>
      </c>
      <c r="AE20" s="70">
        <f>67490.839-AE15</f>
        <v>67490.839000000007</v>
      </c>
      <c r="AF20" s="70">
        <f>68242.02-AF15</f>
        <v>68242.02</v>
      </c>
      <c r="AG20" s="70">
        <f t="shared" ref="AG20:AL20" si="27">0-AG15</f>
        <v>0</v>
      </c>
      <c r="AH20" s="70">
        <f t="shared" si="27"/>
        <v>0</v>
      </c>
      <c r="AI20" s="70">
        <f t="shared" si="27"/>
        <v>0</v>
      </c>
      <c r="AJ20" s="70">
        <f t="shared" si="27"/>
        <v>0</v>
      </c>
      <c r="AK20" s="70">
        <f t="shared" si="27"/>
        <v>0</v>
      </c>
      <c r="AL20" s="70">
        <f t="shared" si="27"/>
        <v>0</v>
      </c>
      <c r="AM20" s="70">
        <f>0-AM15</f>
        <v>0</v>
      </c>
      <c r="AN20" s="70">
        <v>0</v>
      </c>
      <c r="AO20" s="71">
        <v>0</v>
      </c>
      <c r="AP20" s="5">
        <v>0</v>
      </c>
      <c r="AQ20" s="11">
        <v>0</v>
      </c>
      <c r="AR20" s="11">
        <v>0</v>
      </c>
      <c r="AS20" s="71">
        <v>0</v>
      </c>
      <c r="AT20" s="71">
        <v>0</v>
      </c>
      <c r="AU20" s="71">
        <v>0</v>
      </c>
      <c r="AV20" s="15">
        <v>0</v>
      </c>
      <c r="AW20" s="15">
        <v>0</v>
      </c>
      <c r="AX20" s="72">
        <v>0</v>
      </c>
      <c r="AY20" s="72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5">
        <v>0</v>
      </c>
      <c r="BF20" s="5">
        <v>0</v>
      </c>
      <c r="BG20" s="5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97">
        <v>0</v>
      </c>
      <c r="DU20" s="97">
        <v>0</v>
      </c>
      <c r="DV20" s="97">
        <v>0</v>
      </c>
      <c r="DW20" s="97">
        <v>0</v>
      </c>
      <c r="DX20" s="97">
        <v>0</v>
      </c>
      <c r="DY20" s="97">
        <v>0</v>
      </c>
      <c r="DZ20" s="97">
        <v>0</v>
      </c>
      <c r="EA20" s="97">
        <v>0</v>
      </c>
      <c r="EB20" s="74">
        <v>0</v>
      </c>
    </row>
    <row r="21" spans="1:132" x14ac:dyDescent="0.35">
      <c r="A21" s="49" t="s">
        <v>75</v>
      </c>
      <c r="B21" s="66" t="s">
        <v>33</v>
      </c>
      <c r="C21" s="51" t="s">
        <v>52</v>
      </c>
      <c r="D21" s="67">
        <v>3016.81</v>
      </c>
      <c r="E21" s="68">
        <v>3016.2</v>
      </c>
      <c r="F21" s="68">
        <v>3015.59</v>
      </c>
      <c r="G21" s="68">
        <v>3014.97</v>
      </c>
      <c r="H21" s="68">
        <v>3014.97</v>
      </c>
      <c r="I21" s="68">
        <v>2873.33</v>
      </c>
      <c r="J21" s="68">
        <v>2872.06</v>
      </c>
      <c r="K21" s="68">
        <v>2872.06</v>
      </c>
      <c r="L21" s="68">
        <v>2871.42</v>
      </c>
      <c r="M21" s="68">
        <v>2870.78</v>
      </c>
      <c r="N21" s="68">
        <v>2870.13</v>
      </c>
      <c r="O21" s="68">
        <f>2729.08</f>
        <v>2729.08</v>
      </c>
      <c r="P21" s="69">
        <f>2728.42</f>
        <v>2728.42</v>
      </c>
      <c r="Q21" s="69">
        <f>2728.42</f>
        <v>2728.42</v>
      </c>
      <c r="R21" s="69">
        <f>2727.76</f>
        <v>2727.76</v>
      </c>
      <c r="S21" s="69">
        <v>2726.4</v>
      </c>
      <c r="T21" s="69">
        <v>2726.4</v>
      </c>
      <c r="U21" s="70">
        <v>2585.3200000000002</v>
      </c>
      <c r="V21" s="70">
        <v>2584.63</v>
      </c>
      <c r="W21" s="70">
        <v>2584.63</v>
      </c>
      <c r="X21" s="70">
        <v>2583.23</v>
      </c>
      <c r="Y21" s="70">
        <v>2583.2399999999998</v>
      </c>
      <c r="Z21" s="70">
        <v>2581.83</v>
      </c>
      <c r="AA21" s="70">
        <v>2440.7199999999998</v>
      </c>
      <c r="AB21" s="70">
        <v>2439.9899999999998</v>
      </c>
      <c r="AC21" s="70">
        <v>2439.2800000000002</v>
      </c>
      <c r="AD21" s="70">
        <f>2438.56</f>
        <v>2438.56</v>
      </c>
      <c r="AE21" s="70">
        <f>2437.825</f>
        <v>2437.8249999999998</v>
      </c>
      <c r="AF21" s="70">
        <f>2437.825</f>
        <v>2437.8249999999998</v>
      </c>
      <c r="AG21" s="70">
        <f>2296.7-AG17</f>
        <v>371.69999999999982</v>
      </c>
      <c r="AH21" s="70">
        <f>2296.7-AH17</f>
        <v>371.69999999999982</v>
      </c>
      <c r="AI21" s="70">
        <f>2295.94-AI17</f>
        <v>359.52</v>
      </c>
      <c r="AJ21" s="70">
        <f>2294.44-AJ17</f>
        <v>359.51</v>
      </c>
      <c r="AK21" s="70">
        <f>2294.44-AK17</f>
        <v>359.51</v>
      </c>
      <c r="AL21" s="70">
        <f>2292.91-AL17</f>
        <v>359.50999999999976</v>
      </c>
      <c r="AM21" s="70">
        <f>2151.75-AM17</f>
        <v>301.25</v>
      </c>
      <c r="AN21" s="70">
        <v>301.25</v>
      </c>
      <c r="AO21" s="71">
        <v>301.24999999999977</v>
      </c>
      <c r="AP21" s="5">
        <v>301.25</v>
      </c>
      <c r="AQ21" s="11">
        <v>301.25</v>
      </c>
      <c r="AR21" s="11">
        <v>301.25</v>
      </c>
      <c r="AS21" s="71">
        <v>251.04</v>
      </c>
      <c r="AT21" s="71">
        <v>251.04</v>
      </c>
      <c r="AU21" s="71">
        <v>251.04</v>
      </c>
      <c r="AV21" s="15">
        <v>251.04</v>
      </c>
      <c r="AW21" s="15">
        <v>251.04</v>
      </c>
      <c r="AX21" s="72">
        <v>251.04</v>
      </c>
      <c r="AY21" s="72">
        <v>200.83</v>
      </c>
      <c r="AZ21" s="6">
        <v>200.83</v>
      </c>
      <c r="BA21" s="6">
        <v>200.83</v>
      </c>
      <c r="BB21" s="6">
        <v>200.83</v>
      </c>
      <c r="BC21" s="6">
        <v>200.83</v>
      </c>
      <c r="BD21" s="6">
        <v>200.83</v>
      </c>
      <c r="BE21" s="5">
        <v>150.63</v>
      </c>
      <c r="BF21" s="5">
        <v>150.63</v>
      </c>
      <c r="BG21" s="5">
        <v>150.63</v>
      </c>
      <c r="BH21" s="20">
        <v>150.63</v>
      </c>
      <c r="BI21" s="20">
        <v>150.63</v>
      </c>
      <c r="BJ21" s="20">
        <v>150.63</v>
      </c>
      <c r="BK21" s="20">
        <v>150.63</v>
      </c>
      <c r="BL21" s="20">
        <v>100.42</v>
      </c>
      <c r="BM21" s="20">
        <v>100.42</v>
      </c>
      <c r="BN21" s="20">
        <v>100.42</v>
      </c>
      <c r="BO21" s="20">
        <v>100.42</v>
      </c>
      <c r="BP21" s="20">
        <v>100.42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</row>
    <row r="22" spans="1:132" x14ac:dyDescent="0.35">
      <c r="A22" s="49" t="s">
        <v>76</v>
      </c>
      <c r="B22" s="66" t="s">
        <v>34</v>
      </c>
      <c r="C22" s="51" t="s">
        <v>53</v>
      </c>
      <c r="D22" s="67">
        <v>0.15</v>
      </c>
      <c r="E22" s="68">
        <v>0.15</v>
      </c>
      <c r="F22" s="68">
        <v>0.15</v>
      </c>
      <c r="G22" s="68">
        <v>0.15</v>
      </c>
      <c r="H22" s="68">
        <v>0.15</v>
      </c>
      <c r="I22" s="68">
        <v>0.15</v>
      </c>
      <c r="J22" s="68">
        <v>0.15</v>
      </c>
      <c r="K22" s="68">
        <v>0.15</v>
      </c>
      <c r="L22" s="68">
        <v>0.15</v>
      </c>
      <c r="M22" s="68">
        <v>0.15</v>
      </c>
      <c r="N22" s="68">
        <v>0.15</v>
      </c>
      <c r="O22" s="68">
        <v>0.15</v>
      </c>
      <c r="P22" s="69">
        <v>0.15</v>
      </c>
      <c r="Q22" s="69">
        <v>0.15</v>
      </c>
      <c r="R22" s="69">
        <v>0.15</v>
      </c>
      <c r="S22" s="69">
        <v>0.15</v>
      </c>
      <c r="T22" s="69">
        <v>0.15</v>
      </c>
      <c r="U22" s="70">
        <v>0.15</v>
      </c>
      <c r="V22" s="70">
        <v>0.15</v>
      </c>
      <c r="W22" s="70">
        <v>0.15</v>
      </c>
      <c r="X22" s="70">
        <v>0.15</v>
      </c>
      <c r="Y22" s="70">
        <v>0.15</v>
      </c>
      <c r="Z22" s="70">
        <v>0.15</v>
      </c>
      <c r="AA22" s="70">
        <v>0.15</v>
      </c>
      <c r="AB22" s="70">
        <v>0.15</v>
      </c>
      <c r="AC22" s="70">
        <v>0.15</v>
      </c>
      <c r="AD22" s="70">
        <v>0.15</v>
      </c>
      <c r="AE22" s="70">
        <v>0.15</v>
      </c>
      <c r="AF22" s="70">
        <v>0.15</v>
      </c>
      <c r="AG22" s="70">
        <v>0.15</v>
      </c>
      <c r="AH22" s="70">
        <v>0.15</v>
      </c>
      <c r="AI22" s="70">
        <v>0.15</v>
      </c>
      <c r="AJ22" s="70">
        <v>0.15</v>
      </c>
      <c r="AK22" s="70">
        <v>0.15</v>
      </c>
      <c r="AL22" s="70">
        <v>0.15</v>
      </c>
      <c r="AM22" s="70">
        <v>0.15</v>
      </c>
      <c r="AN22" s="70">
        <v>0.15</v>
      </c>
      <c r="AO22" s="71">
        <v>0.15</v>
      </c>
      <c r="AP22" s="5">
        <v>0.15</v>
      </c>
      <c r="AQ22" s="11">
        <v>0.15</v>
      </c>
      <c r="AR22" s="11">
        <v>0.15</v>
      </c>
      <c r="AS22" s="71">
        <v>0.15</v>
      </c>
      <c r="AT22" s="71">
        <v>0.15</v>
      </c>
      <c r="AU22" s="71">
        <v>0.15</v>
      </c>
      <c r="AV22" s="15">
        <v>0.15</v>
      </c>
      <c r="AW22" s="15">
        <v>0.15</v>
      </c>
      <c r="AX22" s="72">
        <v>0.15</v>
      </c>
      <c r="AY22" s="72">
        <v>0.15</v>
      </c>
      <c r="AZ22" s="6">
        <v>0.15</v>
      </c>
      <c r="BA22" s="6">
        <v>0.15</v>
      </c>
      <c r="BB22" s="6">
        <v>0.15</v>
      </c>
      <c r="BC22" s="6">
        <v>0.15</v>
      </c>
      <c r="BD22" s="6">
        <v>0.15</v>
      </c>
      <c r="BE22" s="5">
        <v>0.15</v>
      </c>
      <c r="BF22" s="5">
        <v>0.15</v>
      </c>
      <c r="BG22" s="5">
        <v>0.15</v>
      </c>
      <c r="BH22" s="20">
        <v>0.15</v>
      </c>
      <c r="BI22" s="20">
        <v>0.15</v>
      </c>
      <c r="BJ22" s="20">
        <v>0.15</v>
      </c>
      <c r="BK22" s="20">
        <v>0.15</v>
      </c>
      <c r="BL22" s="20">
        <v>0.15</v>
      </c>
      <c r="BM22" s="20">
        <v>0.15</v>
      </c>
      <c r="BN22" s="20">
        <v>0.15</v>
      </c>
      <c r="BO22" s="20">
        <v>0.15</v>
      </c>
      <c r="BP22" s="20">
        <v>0.15</v>
      </c>
      <c r="BQ22" s="20">
        <v>0.15</v>
      </c>
      <c r="BR22" s="20">
        <v>0.15</v>
      </c>
      <c r="BS22" s="20">
        <v>0.15</v>
      </c>
      <c r="BT22" s="20">
        <v>0.15</v>
      </c>
      <c r="BU22" s="20">
        <v>0.15</v>
      </c>
      <c r="BV22" s="20">
        <v>0.15</v>
      </c>
      <c r="BW22" s="20">
        <v>0.15</v>
      </c>
      <c r="BX22" s="20">
        <v>0.15</v>
      </c>
      <c r="BY22" s="20">
        <v>0.15</v>
      </c>
      <c r="BZ22" s="73">
        <v>0.15</v>
      </c>
      <c r="CA22" s="73">
        <v>0.15</v>
      </c>
      <c r="CB22" s="73">
        <v>0.15</v>
      </c>
      <c r="CC22" s="73">
        <v>0.15</v>
      </c>
      <c r="CD22" s="73">
        <v>0.15</v>
      </c>
      <c r="CE22" s="73">
        <v>0.15</v>
      </c>
      <c r="CF22" s="73">
        <v>0.15</v>
      </c>
      <c r="CG22" s="73">
        <v>0.15</v>
      </c>
      <c r="CH22" s="73">
        <v>0.15</v>
      </c>
      <c r="CI22" s="73">
        <v>0.15</v>
      </c>
      <c r="CJ22" s="74">
        <v>0.15</v>
      </c>
      <c r="CK22" s="74">
        <v>0.15</v>
      </c>
      <c r="CL22" s="74">
        <v>0.15</v>
      </c>
      <c r="CM22" s="74">
        <v>0.15</v>
      </c>
      <c r="CN22" s="74">
        <v>0.15</v>
      </c>
      <c r="CO22" s="74">
        <v>0.15</v>
      </c>
      <c r="CP22" s="74">
        <v>0.15</v>
      </c>
      <c r="CQ22" s="74">
        <v>0.15</v>
      </c>
      <c r="CR22" s="74">
        <v>0.15</v>
      </c>
      <c r="CS22" s="74">
        <v>0.15</v>
      </c>
      <c r="CT22" s="74">
        <v>0.15</v>
      </c>
      <c r="CU22" s="74">
        <v>0.15</v>
      </c>
      <c r="CV22" s="74">
        <v>0.15</v>
      </c>
      <c r="CW22" s="74">
        <v>0.15</v>
      </c>
      <c r="CX22" s="74">
        <v>0.15</v>
      </c>
      <c r="CY22" s="74">
        <v>0.15</v>
      </c>
      <c r="CZ22" s="74">
        <v>0.15</v>
      </c>
      <c r="DA22" s="74">
        <v>0.15</v>
      </c>
      <c r="DB22" s="74">
        <v>0.15</v>
      </c>
      <c r="DC22" s="74">
        <v>0.15</v>
      </c>
      <c r="DD22" s="74">
        <v>0.15</v>
      </c>
      <c r="DE22" s="74">
        <v>0.15</v>
      </c>
      <c r="DF22" s="74">
        <v>0.15</v>
      </c>
      <c r="DG22" s="74">
        <v>0.15</v>
      </c>
      <c r="DH22" s="74">
        <v>0.15</v>
      </c>
      <c r="DI22" s="74">
        <v>0.15</v>
      </c>
      <c r="DJ22" s="74">
        <v>0.15</v>
      </c>
      <c r="DK22" s="74">
        <v>0.15</v>
      </c>
      <c r="DL22" s="74">
        <v>0.15</v>
      </c>
      <c r="DM22" s="74">
        <v>0.15</v>
      </c>
      <c r="DN22" s="74">
        <v>0.15</v>
      </c>
      <c r="DO22" s="74">
        <v>0.15</v>
      </c>
      <c r="DP22" s="74">
        <v>0.15</v>
      </c>
      <c r="DQ22" s="74">
        <v>0.15</v>
      </c>
      <c r="DR22" s="74">
        <v>0.15</v>
      </c>
      <c r="DS22" s="74">
        <v>0.15</v>
      </c>
      <c r="DT22" s="74">
        <v>0.15</v>
      </c>
      <c r="DU22" s="74">
        <v>0.15</v>
      </c>
      <c r="DV22" s="74">
        <v>0.15</v>
      </c>
      <c r="DW22" s="74">
        <v>0.15</v>
      </c>
      <c r="DX22" s="74">
        <v>0.15</v>
      </c>
      <c r="DY22" s="74">
        <v>0.15</v>
      </c>
      <c r="DZ22" s="74">
        <v>0.15</v>
      </c>
      <c r="EA22" s="74">
        <v>0.15</v>
      </c>
      <c r="EB22" s="74">
        <v>0.15</v>
      </c>
    </row>
    <row r="23" spans="1:132" x14ac:dyDescent="0.35">
      <c r="A23" s="49" t="s">
        <v>77</v>
      </c>
      <c r="B23" s="60" t="s">
        <v>35</v>
      </c>
      <c r="C23" s="51" t="s">
        <v>44</v>
      </c>
      <c r="D23" s="61">
        <f t="shared" ref="D23:AI23" si="28">D24+D30</f>
        <v>988790.75936999987</v>
      </c>
      <c r="E23" s="62">
        <f t="shared" si="28"/>
        <v>989036.85355999996</v>
      </c>
      <c r="F23" s="62">
        <f t="shared" si="28"/>
        <v>969147.32040000008</v>
      </c>
      <c r="G23" s="62">
        <f t="shared" si="28"/>
        <v>1192676.7069599999</v>
      </c>
      <c r="H23" s="62">
        <f t="shared" si="28"/>
        <v>1216502.4066000003</v>
      </c>
      <c r="I23" s="62">
        <f t="shared" si="28"/>
        <v>1227864.9310200003</v>
      </c>
      <c r="J23" s="62">
        <f t="shared" si="28"/>
        <v>1230925.9461699999</v>
      </c>
      <c r="K23" s="62">
        <f t="shared" si="28"/>
        <v>1225944.9040000001</v>
      </c>
      <c r="L23" s="62">
        <f t="shared" si="28"/>
        <v>1241960.3099999998</v>
      </c>
      <c r="M23" s="62">
        <f t="shared" si="28"/>
        <v>1245463.3429700001</v>
      </c>
      <c r="N23" s="62">
        <f t="shared" si="28"/>
        <v>1249265.31006</v>
      </c>
      <c r="O23" s="62">
        <f t="shared" si="28"/>
        <v>1252810.9733400003</v>
      </c>
      <c r="P23" s="54">
        <f t="shared" si="28"/>
        <v>1260519.15973</v>
      </c>
      <c r="Q23" s="54">
        <f t="shared" si="28"/>
        <v>1278616.3289400002</v>
      </c>
      <c r="R23" s="54">
        <f t="shared" si="28"/>
        <v>1292220.7340999998</v>
      </c>
      <c r="S23" s="54">
        <f t="shared" si="28"/>
        <v>1288413.09928</v>
      </c>
      <c r="T23" s="54">
        <f t="shared" si="28"/>
        <v>1309342.4064500001</v>
      </c>
      <c r="U23" s="55">
        <f t="shared" si="28"/>
        <v>1320210.2649599998</v>
      </c>
      <c r="V23" s="55">
        <f t="shared" si="28"/>
        <v>1322759.6212000002</v>
      </c>
      <c r="W23" s="55">
        <f t="shared" si="28"/>
        <v>1316276.2434599998</v>
      </c>
      <c r="X23" s="55">
        <f t="shared" si="28"/>
        <v>1315743.4576000003</v>
      </c>
      <c r="Y23" s="55">
        <f t="shared" si="28"/>
        <v>1313642.5281099998</v>
      </c>
      <c r="Z23" s="55">
        <f t="shared" si="28"/>
        <v>1306406.3199230002</v>
      </c>
      <c r="AA23" s="55">
        <f t="shared" si="28"/>
        <v>1310340.4601072001</v>
      </c>
      <c r="AB23" s="55">
        <f t="shared" si="28"/>
        <v>1245446.7671700001</v>
      </c>
      <c r="AC23" s="55">
        <f t="shared" si="28"/>
        <v>1253003.2915399999</v>
      </c>
      <c r="AD23" s="55">
        <f t="shared" si="28"/>
        <v>1212205.5786000001</v>
      </c>
      <c r="AE23" s="55">
        <f t="shared" si="28"/>
        <v>1215708.0604699999</v>
      </c>
      <c r="AF23" s="55">
        <f t="shared" si="28"/>
        <v>1321954.5215600003</v>
      </c>
      <c r="AG23" s="55">
        <f t="shared" si="28"/>
        <v>1321587.4209999999</v>
      </c>
      <c r="AH23" s="55">
        <f t="shared" si="28"/>
        <v>1291515.5162</v>
      </c>
      <c r="AI23" s="55">
        <f t="shared" si="28"/>
        <v>1277101.58378</v>
      </c>
      <c r="AJ23" s="55">
        <f>AJ24+AJ30</f>
        <v>1262854.0411199997</v>
      </c>
      <c r="AK23" s="55">
        <f>AK24+AK30</f>
        <v>1267984.53116</v>
      </c>
      <c r="AL23" s="55">
        <f>AL24+AL30</f>
        <v>1292497.1669999997</v>
      </c>
      <c r="AM23" s="55">
        <f>AM24+AM30</f>
        <v>1271289.4379999998</v>
      </c>
      <c r="AN23" s="55">
        <v>1264164.06</v>
      </c>
      <c r="AO23" s="56">
        <v>1292672.1967500001</v>
      </c>
      <c r="AP23" s="9">
        <f>AP24+AP30</f>
        <v>1296092.1261200001</v>
      </c>
      <c r="AQ23" s="9">
        <f>AQ24+AQ30</f>
        <v>1344857.1571499999</v>
      </c>
      <c r="AR23" s="9">
        <v>1365820.5980999996</v>
      </c>
      <c r="AS23" s="79">
        <f t="shared" ref="AS23:DD23" si="29">AS24+AS30</f>
        <v>1340273.0387200001</v>
      </c>
      <c r="AT23" s="56">
        <f t="shared" si="29"/>
        <v>1275211.3199999998</v>
      </c>
      <c r="AU23" s="56">
        <f t="shared" si="29"/>
        <v>1265271.5691899997</v>
      </c>
      <c r="AV23" s="81">
        <f t="shared" si="29"/>
        <v>1269063.51</v>
      </c>
      <c r="AW23" s="81">
        <f t="shared" si="29"/>
        <v>1348877.5699999998</v>
      </c>
      <c r="AX23" s="79">
        <f t="shared" si="29"/>
        <v>1273779.3599999999</v>
      </c>
      <c r="AY23" s="79">
        <f t="shared" si="29"/>
        <v>1248680.6200000001</v>
      </c>
      <c r="AZ23" s="9">
        <f t="shared" si="29"/>
        <v>1332157.5699999998</v>
      </c>
      <c r="BA23" s="9">
        <f t="shared" si="29"/>
        <v>1309567.93</v>
      </c>
      <c r="BB23" s="9">
        <f t="shared" si="29"/>
        <v>1280942.6299999999</v>
      </c>
      <c r="BC23" s="9">
        <f t="shared" si="29"/>
        <v>1330156.46</v>
      </c>
      <c r="BD23" s="9">
        <f t="shared" si="29"/>
        <v>1336460.52</v>
      </c>
      <c r="BE23" s="56">
        <f t="shared" si="29"/>
        <v>1249991.9099999999</v>
      </c>
      <c r="BF23" s="56">
        <f t="shared" si="29"/>
        <v>1294109.96</v>
      </c>
      <c r="BG23" s="56">
        <f t="shared" si="29"/>
        <v>1255361.1800000002</v>
      </c>
      <c r="BH23" s="63">
        <f t="shared" si="29"/>
        <v>1226710.01</v>
      </c>
      <c r="BI23" s="63">
        <f t="shared" si="29"/>
        <v>1299876.3099999998</v>
      </c>
      <c r="BJ23" s="63">
        <f t="shared" si="29"/>
        <v>1260541.3999999999</v>
      </c>
      <c r="BK23" s="63">
        <f t="shared" si="29"/>
        <v>1246281.79</v>
      </c>
      <c r="BL23" s="63">
        <f t="shared" si="29"/>
        <v>1318028.97</v>
      </c>
      <c r="BM23" s="63">
        <f t="shared" si="29"/>
        <v>1320057.9699532001</v>
      </c>
      <c r="BN23" s="63">
        <f t="shared" si="29"/>
        <v>1284671.8399999999</v>
      </c>
      <c r="BO23" s="63">
        <f t="shared" si="29"/>
        <v>1351858.9200000002</v>
      </c>
      <c r="BP23" s="63">
        <f t="shared" si="29"/>
        <v>1359536.8719199998</v>
      </c>
      <c r="BQ23" s="63">
        <f t="shared" si="29"/>
        <v>1294020.51</v>
      </c>
      <c r="BR23" s="63">
        <f t="shared" si="29"/>
        <v>1305847.9400000002</v>
      </c>
      <c r="BS23" s="63">
        <f t="shared" si="29"/>
        <v>1348908.23</v>
      </c>
      <c r="BT23" s="63">
        <f t="shared" si="29"/>
        <v>1309502.03</v>
      </c>
      <c r="BU23" s="63">
        <f t="shared" si="29"/>
        <v>1365516.95</v>
      </c>
      <c r="BV23" s="63">
        <f t="shared" si="29"/>
        <v>1383403.06</v>
      </c>
      <c r="BW23" s="63">
        <f t="shared" si="29"/>
        <v>1357335.5104400001</v>
      </c>
      <c r="BX23" s="63">
        <f t="shared" si="29"/>
        <v>1435682.86</v>
      </c>
      <c r="BY23" s="63">
        <f t="shared" si="29"/>
        <v>1387173.15</v>
      </c>
      <c r="BZ23" s="63">
        <f t="shared" si="29"/>
        <v>1379498.44</v>
      </c>
      <c r="CA23" s="63">
        <f t="shared" si="29"/>
        <v>1427882.04</v>
      </c>
      <c r="CB23" s="63">
        <f t="shared" si="29"/>
        <v>1401609.8199999998</v>
      </c>
      <c r="CC23" s="63">
        <f t="shared" si="29"/>
        <v>1352746.2711099999</v>
      </c>
      <c r="CD23" s="63">
        <f t="shared" si="29"/>
        <v>1426752.0783299999</v>
      </c>
      <c r="CE23" s="63">
        <f t="shared" si="29"/>
        <v>1432061.33</v>
      </c>
      <c r="CF23" s="63">
        <f t="shared" si="29"/>
        <v>1421286.6343200002</v>
      </c>
      <c r="CG23" s="63">
        <f t="shared" si="29"/>
        <v>1400399.97596</v>
      </c>
      <c r="CH23" s="63">
        <f t="shared" si="29"/>
        <v>1409069.84</v>
      </c>
      <c r="CI23" s="63">
        <f t="shared" si="29"/>
        <v>1405448.6176799999</v>
      </c>
      <c r="CJ23" s="64">
        <f t="shared" si="29"/>
        <v>1412092.589952</v>
      </c>
      <c r="CK23" s="64">
        <f t="shared" si="29"/>
        <v>1409973.97</v>
      </c>
      <c r="CL23" s="64">
        <f t="shared" si="29"/>
        <v>1379673.39466</v>
      </c>
      <c r="CM23" s="64">
        <f t="shared" si="29"/>
        <v>1390553.0004960001</v>
      </c>
      <c r="CN23" s="64">
        <f t="shared" si="29"/>
        <v>1375965.52</v>
      </c>
      <c r="CO23" s="64">
        <f t="shared" si="29"/>
        <v>1383166.25</v>
      </c>
      <c r="CP23" s="64">
        <f t="shared" si="29"/>
        <v>1393554.8969999999</v>
      </c>
      <c r="CQ23" s="64">
        <f t="shared" si="29"/>
        <v>1397152.5059359998</v>
      </c>
      <c r="CR23" s="64">
        <f t="shared" si="29"/>
        <v>1370556.5699999998</v>
      </c>
      <c r="CS23" s="64">
        <f t="shared" si="29"/>
        <v>1387187.3118100001</v>
      </c>
      <c r="CT23" s="64">
        <f t="shared" si="29"/>
        <v>1379266.3399999999</v>
      </c>
      <c r="CU23" s="64">
        <f t="shared" si="29"/>
        <v>1353074.4999999998</v>
      </c>
      <c r="CV23" s="64">
        <f t="shared" si="29"/>
        <v>1373849.5398600001</v>
      </c>
      <c r="CW23" s="64">
        <f t="shared" si="29"/>
        <v>1392502.21</v>
      </c>
      <c r="CX23" s="64">
        <f t="shared" si="29"/>
        <v>1381633.19</v>
      </c>
      <c r="CY23" s="64">
        <f t="shared" si="29"/>
        <v>1363960.0539332891</v>
      </c>
      <c r="CZ23" s="64">
        <f t="shared" si="29"/>
        <v>1444675.398614536</v>
      </c>
      <c r="DA23" s="64">
        <f t="shared" si="29"/>
        <v>1441978.6187998862</v>
      </c>
      <c r="DB23" s="64">
        <f t="shared" si="29"/>
        <v>1443990.822834</v>
      </c>
      <c r="DC23" s="64">
        <f t="shared" si="29"/>
        <v>1425842.9988197999</v>
      </c>
      <c r="DD23" s="64">
        <f t="shared" si="29"/>
        <v>1419915.8814719999</v>
      </c>
      <c r="DE23" s="64">
        <f t="shared" ref="DE23" si="30">DE24+DE30</f>
        <v>1424597.011992</v>
      </c>
      <c r="DF23" s="64">
        <f>DF24+DF30+0.01</f>
        <v>1413787.9963509999</v>
      </c>
      <c r="DG23" s="64">
        <f t="shared" ref="DG23:DU23" si="31">DG24+DG30</f>
        <v>1431999.798372</v>
      </c>
      <c r="DH23" s="64">
        <f t="shared" si="31"/>
        <v>1450799.2508759997</v>
      </c>
      <c r="DI23" s="64">
        <f t="shared" si="31"/>
        <v>1430550.3356310001</v>
      </c>
      <c r="DJ23" s="64">
        <f t="shared" si="31"/>
        <v>1430054.8783320002</v>
      </c>
      <c r="DK23" s="64">
        <f t="shared" si="31"/>
        <v>1417356.3776100001</v>
      </c>
      <c r="DL23" s="64">
        <f t="shared" si="31"/>
        <v>1411964.31663</v>
      </c>
      <c r="DM23" s="64">
        <f t="shared" si="31"/>
        <v>1453490.8218240002</v>
      </c>
      <c r="DN23" s="64">
        <f t="shared" si="31"/>
        <v>1451939.6136960001</v>
      </c>
      <c r="DO23" s="64">
        <f t="shared" si="31"/>
        <v>1407690.0757920002</v>
      </c>
      <c r="DP23" s="64">
        <f t="shared" si="31"/>
        <v>1396182.4008309999</v>
      </c>
      <c r="DQ23" s="64">
        <f t="shared" si="31"/>
        <v>1396804.6795500002</v>
      </c>
      <c r="DR23" s="64">
        <f t="shared" si="31"/>
        <v>1383137.863407</v>
      </c>
      <c r="DS23" s="64">
        <f t="shared" si="31"/>
        <v>1413925.9697460001</v>
      </c>
      <c r="DT23" s="64">
        <f t="shared" si="31"/>
        <v>1424288.2424119997</v>
      </c>
      <c r="DU23" s="64">
        <f t="shared" si="31"/>
        <v>1418236.221996</v>
      </c>
      <c r="DV23" s="64">
        <f t="shared" ref="DV23:DW23" si="32">DV24+DV30</f>
        <v>1417197.1147940001</v>
      </c>
      <c r="DW23" s="64">
        <f t="shared" si="32"/>
        <v>1403039.4510830003</v>
      </c>
      <c r="DX23" s="64">
        <f t="shared" ref="DX23:DY23" si="33">DX24+DX30</f>
        <v>1400593.8358840002</v>
      </c>
      <c r="DY23" s="64">
        <f t="shared" si="33"/>
        <v>1395753.7576099997</v>
      </c>
      <c r="DZ23" s="64">
        <f t="shared" ref="DZ23:EA23" si="34">DZ24+DZ30</f>
        <v>1382001.2802096</v>
      </c>
      <c r="EA23" s="64">
        <f t="shared" si="34"/>
        <v>1378491.06528</v>
      </c>
      <c r="EB23" s="64">
        <f t="shared" ref="EB23" si="35">EB24+EB30</f>
        <v>1370969.0509349999</v>
      </c>
    </row>
    <row r="24" spans="1:132" x14ac:dyDescent="0.35">
      <c r="A24" s="49" t="s">
        <v>78</v>
      </c>
      <c r="B24" s="78" t="s">
        <v>36</v>
      </c>
      <c r="C24" s="51" t="s">
        <v>54</v>
      </c>
      <c r="D24" s="61">
        <f t="shared" ref="D24:O24" si="36">SUM(D25:D29)</f>
        <v>77695.080780000004</v>
      </c>
      <c r="E24" s="62">
        <f t="shared" si="36"/>
        <v>75607.229530000011</v>
      </c>
      <c r="F24" s="62">
        <f t="shared" si="36"/>
        <v>41540.734320000003</v>
      </c>
      <c r="G24" s="62">
        <f t="shared" si="36"/>
        <v>24411.99222</v>
      </c>
      <c r="H24" s="62">
        <f t="shared" si="36"/>
        <v>41956.486799999999</v>
      </c>
      <c r="I24" s="62">
        <f t="shared" si="36"/>
        <v>39288.248999999996</v>
      </c>
      <c r="J24" s="62">
        <f t="shared" si="36"/>
        <v>34248.642940000005</v>
      </c>
      <c r="K24" s="62">
        <f t="shared" si="36"/>
        <v>30978.435600000001</v>
      </c>
      <c r="L24" s="62">
        <f t="shared" si="36"/>
        <v>39303.455999999998</v>
      </c>
      <c r="M24" s="62">
        <f t="shared" si="36"/>
        <v>32616.648960000002</v>
      </c>
      <c r="N24" s="62">
        <f t="shared" si="36"/>
        <v>39455.742359999997</v>
      </c>
      <c r="O24" s="62">
        <f t="shared" si="36"/>
        <v>3954.1640400000001</v>
      </c>
      <c r="P24" s="54">
        <f t="shared" ref="P24:AM24" si="37">SUM(P25:P29)</f>
        <v>4655.22498</v>
      </c>
      <c r="Q24" s="54">
        <f t="shared" si="37"/>
        <v>5731.2872699999998</v>
      </c>
      <c r="R24" s="54">
        <f t="shared" si="37"/>
        <v>5927.3861499999994</v>
      </c>
      <c r="S24" s="54">
        <f t="shared" si="37"/>
        <v>5796.3655600000002</v>
      </c>
      <c r="T24" s="54">
        <f t="shared" si="37"/>
        <v>5919.3732799999998</v>
      </c>
      <c r="U24" s="55">
        <f t="shared" si="37"/>
        <v>6003.0547200000001</v>
      </c>
      <c r="V24" s="55">
        <f t="shared" si="37"/>
        <v>6339.124240000001</v>
      </c>
      <c r="W24" s="55">
        <f t="shared" si="37"/>
        <v>6490.666729999999</v>
      </c>
      <c r="X24" s="55">
        <f t="shared" si="37"/>
        <v>17082.573200000003</v>
      </c>
      <c r="Y24" s="55">
        <f t="shared" si="37"/>
        <v>16814.76801</v>
      </c>
      <c r="Z24" s="55">
        <f t="shared" si="37"/>
        <v>16257.843622999999</v>
      </c>
      <c r="AA24" s="55">
        <f t="shared" si="37"/>
        <v>16145.160255999999</v>
      </c>
      <c r="AB24" s="55">
        <f t="shared" si="37"/>
        <v>15440.139252000001</v>
      </c>
      <c r="AC24" s="55">
        <f t="shared" si="37"/>
        <v>15539.229419999998</v>
      </c>
      <c r="AD24" s="55">
        <f t="shared" si="37"/>
        <v>5289.1213360000002</v>
      </c>
      <c r="AE24" s="55">
        <f t="shared" si="37"/>
        <v>5282.6434000000008</v>
      </c>
      <c r="AF24" s="55">
        <f t="shared" si="37"/>
        <v>7130.5630000000001</v>
      </c>
      <c r="AG24" s="55">
        <f t="shared" si="37"/>
        <v>6820.2749999999996</v>
      </c>
      <c r="AH24" s="55">
        <f t="shared" si="37"/>
        <v>5969.7509199999995</v>
      </c>
      <c r="AI24" s="55">
        <f t="shared" si="37"/>
        <v>6530.8766599999999</v>
      </c>
      <c r="AJ24" s="55">
        <f t="shared" si="37"/>
        <v>6725.0215199999993</v>
      </c>
      <c r="AK24" s="55">
        <f t="shared" si="37"/>
        <v>6971.49496</v>
      </c>
      <c r="AL24" s="55">
        <f t="shared" si="37"/>
        <v>6369.2561399999995</v>
      </c>
      <c r="AM24" s="55">
        <f t="shared" si="37"/>
        <v>18494.597999999998</v>
      </c>
      <c r="AN24" s="55">
        <v>6867.6</v>
      </c>
      <c r="AO24" s="56">
        <v>6599.7690000000002</v>
      </c>
      <c r="AP24" s="9">
        <f>SUM(AP25:AP29)</f>
        <v>18196.661670000001</v>
      </c>
      <c r="AQ24" s="9">
        <f>SUM(AQ25:AQ29)</f>
        <v>18352.567150000003</v>
      </c>
      <c r="AR24" s="9">
        <v>17579.120039999998</v>
      </c>
      <c r="AS24" s="79">
        <f t="shared" ref="AS24:DD24" si="38">SUM(AS25:AS29)</f>
        <v>16977.620220000004</v>
      </c>
      <c r="AT24" s="9">
        <f t="shared" si="38"/>
        <v>15842.89</v>
      </c>
      <c r="AU24" s="9">
        <f t="shared" si="38"/>
        <v>15501.210000000001</v>
      </c>
      <c r="AV24" s="81">
        <f t="shared" si="38"/>
        <v>15351.49</v>
      </c>
      <c r="AW24" s="81">
        <f t="shared" si="38"/>
        <v>16100.630000000001</v>
      </c>
      <c r="AX24" s="79">
        <f t="shared" si="38"/>
        <v>15031.699999999999</v>
      </c>
      <c r="AY24" s="79">
        <f t="shared" si="38"/>
        <v>14278.08</v>
      </c>
      <c r="AZ24" s="9">
        <f t="shared" si="38"/>
        <v>14845.69</v>
      </c>
      <c r="BA24" s="9">
        <f t="shared" si="38"/>
        <v>17479.22</v>
      </c>
      <c r="BB24" s="9">
        <f t="shared" si="38"/>
        <v>5753.9</v>
      </c>
      <c r="BC24" s="9">
        <f t="shared" si="38"/>
        <v>6954.51</v>
      </c>
      <c r="BD24" s="9">
        <f t="shared" si="38"/>
        <v>6689.33</v>
      </c>
      <c r="BE24" s="56">
        <f t="shared" si="38"/>
        <v>6122.71</v>
      </c>
      <c r="BF24" s="56">
        <f t="shared" si="38"/>
        <v>6319.48</v>
      </c>
      <c r="BG24" s="56">
        <f t="shared" si="38"/>
        <v>5758.6100000000006</v>
      </c>
      <c r="BH24" s="63">
        <f t="shared" si="38"/>
        <v>5687.21</v>
      </c>
      <c r="BI24" s="63">
        <f t="shared" si="38"/>
        <v>6234.89</v>
      </c>
      <c r="BJ24" s="63">
        <f t="shared" si="38"/>
        <v>5986.79</v>
      </c>
      <c r="BK24" s="63">
        <f t="shared" si="38"/>
        <v>4271.58</v>
      </c>
      <c r="BL24" s="63">
        <f t="shared" si="38"/>
        <v>4016.9400000000005</v>
      </c>
      <c r="BM24" s="63">
        <f t="shared" si="38"/>
        <v>1822.29</v>
      </c>
      <c r="BN24" s="63">
        <f t="shared" si="38"/>
        <v>1764.1399999999999</v>
      </c>
      <c r="BO24" s="63">
        <f t="shared" si="38"/>
        <v>2502.5299999999997</v>
      </c>
      <c r="BP24" s="63">
        <f t="shared" si="38"/>
        <v>2522.9700000000003</v>
      </c>
      <c r="BQ24" s="63">
        <f t="shared" si="38"/>
        <v>2429.9899999999998</v>
      </c>
      <c r="BR24" s="63">
        <f t="shared" si="38"/>
        <v>2599.0500000000002</v>
      </c>
      <c r="BS24" s="63">
        <f t="shared" si="38"/>
        <v>2084.2999999999997</v>
      </c>
      <c r="BT24" s="63">
        <f t="shared" si="38"/>
        <v>2416.48</v>
      </c>
      <c r="BU24" s="63">
        <f t="shared" si="38"/>
        <v>2109.5500000000002</v>
      </c>
      <c r="BV24" s="63">
        <f t="shared" si="38"/>
        <v>2081.5899999999997</v>
      </c>
      <c r="BW24" s="63">
        <f t="shared" si="38"/>
        <v>2162.0756799999999</v>
      </c>
      <c r="BX24" s="63">
        <f t="shared" si="38"/>
        <v>2206.6</v>
      </c>
      <c r="BY24" s="63">
        <f t="shared" si="38"/>
        <v>2099.9</v>
      </c>
      <c r="BZ24" s="63">
        <f t="shared" si="38"/>
        <v>1797.9399999999998</v>
      </c>
      <c r="CA24" s="63">
        <f t="shared" si="38"/>
        <v>1545.87</v>
      </c>
      <c r="CB24" s="63">
        <f t="shared" si="38"/>
        <v>1501.1389999999999</v>
      </c>
      <c r="CC24" s="63">
        <f t="shared" si="38"/>
        <v>1384.0945400000001</v>
      </c>
      <c r="CD24" s="63">
        <f t="shared" si="38"/>
        <v>1494.3235199999999</v>
      </c>
      <c r="CE24" s="63">
        <f t="shared" si="38"/>
        <v>1441.38</v>
      </c>
      <c r="CF24" s="63">
        <f t="shared" si="38"/>
        <v>930.52679999999987</v>
      </c>
      <c r="CG24" s="63">
        <f t="shared" si="38"/>
        <v>1272.1770899999999</v>
      </c>
      <c r="CH24" s="63">
        <f t="shared" si="38"/>
        <v>1644.7199999999998</v>
      </c>
      <c r="CI24" s="63">
        <f t="shared" si="38"/>
        <v>1537.8</v>
      </c>
      <c r="CJ24" s="64">
        <f t="shared" si="38"/>
        <v>1409.18</v>
      </c>
      <c r="CK24" s="64">
        <f t="shared" si="38"/>
        <v>1409.71</v>
      </c>
      <c r="CL24" s="64">
        <f t="shared" si="38"/>
        <v>1332.1948199999999</v>
      </c>
      <c r="CM24" s="64">
        <f t="shared" si="38"/>
        <v>1427.328606</v>
      </c>
      <c r="CN24" s="64">
        <f t="shared" si="38"/>
        <v>1144.5900000000001</v>
      </c>
      <c r="CO24" s="64">
        <f t="shared" si="38"/>
        <v>1045.29</v>
      </c>
      <c r="CP24" s="64">
        <f t="shared" si="38"/>
        <v>885.9670000000001</v>
      </c>
      <c r="CQ24" s="64">
        <f t="shared" si="38"/>
        <v>884.9572159999999</v>
      </c>
      <c r="CR24" s="64">
        <f t="shared" si="38"/>
        <v>982.25</v>
      </c>
      <c r="CS24" s="64">
        <f t="shared" si="38"/>
        <v>944.65445499999998</v>
      </c>
      <c r="CT24" s="64">
        <f t="shared" si="38"/>
        <v>1332.66</v>
      </c>
      <c r="CU24" s="64">
        <f t="shared" si="38"/>
        <v>728.91</v>
      </c>
      <c r="CV24" s="64">
        <f t="shared" si="38"/>
        <v>737.43360600000005</v>
      </c>
      <c r="CW24" s="64">
        <f t="shared" si="38"/>
        <v>688.77</v>
      </c>
      <c r="CX24" s="64">
        <f t="shared" si="38"/>
        <v>603.02</v>
      </c>
      <c r="CY24" s="64">
        <f t="shared" si="38"/>
        <v>713.30445171680003</v>
      </c>
      <c r="CZ24" s="64">
        <f t="shared" si="38"/>
        <v>703.33187628619999</v>
      </c>
      <c r="DA24" s="64">
        <f t="shared" si="38"/>
        <v>3955.4875200000001</v>
      </c>
      <c r="DB24" s="64">
        <f t="shared" si="38"/>
        <v>4081.4553900000001</v>
      </c>
      <c r="DC24" s="64">
        <f t="shared" si="38"/>
        <v>4166.5169568000001</v>
      </c>
      <c r="DD24" s="64">
        <f t="shared" si="38"/>
        <v>822.78662400000007</v>
      </c>
      <c r="DE24" s="64">
        <f t="shared" ref="DE24:DU24" si="39">SUM(DE25:DE29)</f>
        <v>797.7307800000001</v>
      </c>
      <c r="DF24" s="64">
        <f t="shared" si="39"/>
        <v>798.00358299999994</v>
      </c>
      <c r="DG24" s="64">
        <f t="shared" si="39"/>
        <v>725.53080599999998</v>
      </c>
      <c r="DH24" s="64">
        <f t="shared" si="39"/>
        <v>648.10768399999984</v>
      </c>
      <c r="DI24" s="64">
        <f t="shared" si="39"/>
        <v>39793.388213999999</v>
      </c>
      <c r="DJ24" s="64">
        <f t="shared" si="39"/>
        <v>54066.016096000007</v>
      </c>
      <c r="DK24" s="64">
        <f t="shared" si="39"/>
        <v>59755.285905000004</v>
      </c>
      <c r="DL24" s="64">
        <f t="shared" si="39"/>
        <v>50781.681540000005</v>
      </c>
      <c r="DM24" s="64">
        <f t="shared" si="39"/>
        <v>51495.495168000009</v>
      </c>
      <c r="DN24" s="64">
        <f t="shared" si="39"/>
        <v>50985.871391000001</v>
      </c>
      <c r="DO24" s="64">
        <f t="shared" si="39"/>
        <v>25835.768959000001</v>
      </c>
      <c r="DP24" s="64">
        <f t="shared" si="39"/>
        <v>25889.959768000001</v>
      </c>
      <c r="DQ24" s="64">
        <f t="shared" si="39"/>
        <v>24113.050920000001</v>
      </c>
      <c r="DR24" s="64">
        <f t="shared" si="39"/>
        <v>14463.687040999999</v>
      </c>
      <c r="DS24" s="64">
        <f t="shared" si="39"/>
        <v>39078.920933999994</v>
      </c>
      <c r="DT24" s="64">
        <f t="shared" si="39"/>
        <v>39575.477703999997</v>
      </c>
      <c r="DU24" s="64">
        <f t="shared" si="39"/>
        <v>29301.163956000004</v>
      </c>
      <c r="DV24" s="64">
        <f t="shared" ref="DV24:DW24" si="40">SUM(DV25:DV29)</f>
        <v>29078.695322000003</v>
      </c>
      <c r="DW24" s="64">
        <f t="shared" si="40"/>
        <v>15144.477904000001</v>
      </c>
      <c r="DX24" s="64">
        <f t="shared" ref="DX24:DY24" si="41">SUM(DX25:DX29)</f>
        <v>15063.769025999998</v>
      </c>
      <c r="DY24" s="64">
        <f t="shared" si="41"/>
        <v>12061.130034999998</v>
      </c>
      <c r="DZ24" s="64">
        <f t="shared" ref="DZ24:EA24" si="42">SUM(DZ25:DZ29)</f>
        <v>787.94431999999995</v>
      </c>
      <c r="EA24" s="64">
        <f t="shared" si="42"/>
        <v>777.00520799999993</v>
      </c>
      <c r="EB24" s="64">
        <f t="shared" ref="EB24" si="43">SUM(EB25:EB29)</f>
        <v>661.32152999999994</v>
      </c>
    </row>
    <row r="25" spans="1:132" x14ac:dyDescent="0.35">
      <c r="A25" s="49" t="s">
        <v>79</v>
      </c>
      <c r="B25" s="66" t="s">
        <v>37</v>
      </c>
      <c r="C25" s="51" t="s">
        <v>55</v>
      </c>
      <c r="D25" s="67">
        <f>35.3*115.6521</f>
        <v>4082.5191299999997</v>
      </c>
      <c r="E25" s="68">
        <f>31.7*116.1223</f>
        <v>3681.0769099999998</v>
      </c>
      <c r="F25" s="68">
        <f>29.4*116.9832</f>
        <v>3439.3060799999998</v>
      </c>
      <c r="G25" s="68">
        <f>24.7*117.4218</f>
        <v>2900.31846</v>
      </c>
      <c r="H25" s="68">
        <f>80.8*117.8553</f>
        <v>9522.7082399999999</v>
      </c>
      <c r="I25" s="68">
        <f>72.3*119.0553</f>
        <v>8607.6981899999992</v>
      </c>
      <c r="J25" s="68">
        <f>67.7*119.8343</f>
        <v>8112.7821100000001</v>
      </c>
      <c r="K25" s="68">
        <f>64.7*119.932</f>
        <v>7759.6004000000003</v>
      </c>
      <c r="L25" s="68">
        <f>79.9*120.415</f>
        <v>9621.1585000000014</v>
      </c>
      <c r="M25" s="68">
        <f>36*121.3417</f>
        <v>4368.3011999999999</v>
      </c>
      <c r="N25" s="68">
        <f>81.8*121.8522</f>
        <v>9967.5099599999994</v>
      </c>
      <c r="O25" s="68">
        <f>24.8*122.0421</f>
        <v>3026.64408</v>
      </c>
      <c r="P25" s="69">
        <f>27.3*123.1541</f>
        <v>3362.1069299999999</v>
      </c>
      <c r="Q25" s="69">
        <f>33.5*125.4111</f>
        <v>4201.2718500000001</v>
      </c>
      <c r="R25" s="69">
        <f>33.3*126.3835</f>
        <v>4208.5705499999995</v>
      </c>
      <c r="S25" s="69">
        <f>33.2*126.5582</f>
        <v>4201.7322400000003</v>
      </c>
      <c r="T25" s="69">
        <f>33.7*127.5727</f>
        <v>4299.1999900000001</v>
      </c>
      <c r="U25" s="70">
        <f>30.7*128.2704</f>
        <v>3937.9012799999996</v>
      </c>
      <c r="V25" s="70">
        <f>27.2*129.1064</f>
        <v>3511.6940800000002</v>
      </c>
      <c r="W25" s="70">
        <f>28.2*129.0391</f>
        <v>3638.9026199999998</v>
      </c>
      <c r="X25" s="70">
        <f>28.4*128.4404</f>
        <v>3647.7073600000003</v>
      </c>
      <c r="Y25" s="70">
        <f>26.9*128.2591</f>
        <v>3450.1697899999995</v>
      </c>
      <c r="Z25" s="70">
        <f>26.1*128.1053</f>
        <v>3343.5483300000001</v>
      </c>
      <c r="AA25" s="70">
        <f>26.12*128.6672</f>
        <v>3360.7872640000005</v>
      </c>
      <c r="AB25" s="70">
        <f>26.12*129.4011</f>
        <v>3379.9567320000006</v>
      </c>
      <c r="AC25" s="70">
        <f>25.6*130.1443</f>
        <v>3331.6940799999998</v>
      </c>
      <c r="AD25" s="70">
        <f>25.3*128.6288</f>
        <v>3254.3086400000002</v>
      </c>
      <c r="AE25" s="70">
        <f>25.17*128.2195</f>
        <v>3227.2848150000004</v>
      </c>
      <c r="AF25" s="70">
        <f>25.2*129.6466</f>
        <v>3267.0943200000002</v>
      </c>
      <c r="AG25" s="70">
        <f>25.2*129.91</f>
        <v>3273.732</v>
      </c>
      <c r="AH25" s="70">
        <f>26.2*127.2868</f>
        <v>3334.9141599999998</v>
      </c>
      <c r="AI25" s="70">
        <f>31*126.0787</f>
        <v>3908.4396999999999</v>
      </c>
      <c r="AJ25" s="70">
        <f>30.4*125.0004</f>
        <v>3800.0121599999998</v>
      </c>
      <c r="AK25" s="70">
        <f>27.5*125.3866</f>
        <v>3448.1315</v>
      </c>
      <c r="AL25" s="70">
        <f>28.7*128.154</f>
        <v>3678.0198</v>
      </c>
      <c r="AM25" s="70">
        <f>28.3*125.985</f>
        <v>3565.3755000000001</v>
      </c>
      <c r="AN25" s="70">
        <v>3659.38</v>
      </c>
      <c r="AO25" s="71">
        <v>3376.6259999999997</v>
      </c>
      <c r="AP25" s="5">
        <v>3442.3435199999994</v>
      </c>
      <c r="AQ25" s="11">
        <v>3575.7031200000001</v>
      </c>
      <c r="AR25" s="11">
        <v>3507.5708999999997</v>
      </c>
      <c r="AS25" s="71">
        <v>3295.5762400000003</v>
      </c>
      <c r="AT25" s="71">
        <v>3137.72</v>
      </c>
      <c r="AU25" s="71">
        <v>2849.77</v>
      </c>
      <c r="AV25" s="15">
        <v>3039.65</v>
      </c>
      <c r="AW25" s="15">
        <v>3225.57</v>
      </c>
      <c r="AX25" s="72">
        <v>3052.71</v>
      </c>
      <c r="AY25" s="72">
        <v>2162.58</v>
      </c>
      <c r="AZ25" s="6">
        <v>2307.83</v>
      </c>
      <c r="BA25" s="6">
        <v>2231.39</v>
      </c>
      <c r="BB25" s="6">
        <v>2201.9499999999998</v>
      </c>
      <c r="BC25" s="6">
        <v>2227.08</v>
      </c>
      <c r="BD25" s="6">
        <v>2726.4</v>
      </c>
      <c r="BE25" s="5">
        <v>2757.25</v>
      </c>
      <c r="BF25" s="5">
        <v>2872.49</v>
      </c>
      <c r="BG25" s="5">
        <v>2566.9299999999998</v>
      </c>
      <c r="BH25" s="20">
        <v>2744.18</v>
      </c>
      <c r="BI25" s="20">
        <v>2933.15</v>
      </c>
      <c r="BJ25" s="20">
        <v>2890.65</v>
      </c>
      <c r="BK25" s="20">
        <v>1225.29</v>
      </c>
      <c r="BL25" s="20">
        <v>814.82</v>
      </c>
      <c r="BM25" s="20">
        <v>817.88</v>
      </c>
      <c r="BN25" s="20">
        <v>798.06</v>
      </c>
      <c r="BO25" s="20">
        <v>1565.04</v>
      </c>
      <c r="BP25" s="20">
        <v>1582.45</v>
      </c>
      <c r="BQ25" s="20">
        <v>1534.73</v>
      </c>
      <c r="BR25" s="20">
        <v>1742.38</v>
      </c>
      <c r="BS25" s="20">
        <v>1776.06</v>
      </c>
      <c r="BT25" s="20">
        <v>1560.58</v>
      </c>
      <c r="BU25" s="20">
        <v>1256.75</v>
      </c>
      <c r="BV25" s="20">
        <v>1200.33</v>
      </c>
      <c r="BW25" s="20">
        <v>1143.3341399999999</v>
      </c>
      <c r="BX25" s="20">
        <v>1157.31</v>
      </c>
      <c r="BY25" s="20">
        <v>1118.6500000000001</v>
      </c>
      <c r="BZ25" s="73">
        <v>1104.07</v>
      </c>
      <c r="CA25" s="73">
        <v>726.56</v>
      </c>
      <c r="CB25" s="73">
        <v>717.87</v>
      </c>
      <c r="CC25" s="73">
        <v>662.59844999999996</v>
      </c>
      <c r="CD25" s="73">
        <v>669.33240999999998</v>
      </c>
      <c r="CE25" s="73">
        <v>673.69</v>
      </c>
      <c r="CF25" s="73">
        <v>480.77217999999999</v>
      </c>
      <c r="CG25" s="73">
        <v>628.23559999999998</v>
      </c>
      <c r="CH25" s="73">
        <v>622.41</v>
      </c>
      <c r="CI25" s="73">
        <v>630.5</v>
      </c>
      <c r="CJ25" s="74">
        <v>596.19000000000005</v>
      </c>
      <c r="CK25" s="74">
        <v>592.66999999999996</v>
      </c>
      <c r="CL25" s="74">
        <v>578.95155999999997</v>
      </c>
      <c r="CM25" s="74">
        <v>800.47169400000007</v>
      </c>
      <c r="CN25" s="74">
        <v>707.98</v>
      </c>
      <c r="CO25" s="74">
        <v>695.33</v>
      </c>
      <c r="CP25" s="74">
        <v>569.37400000000002</v>
      </c>
      <c r="CQ25" s="74">
        <v>577.07874399999992</v>
      </c>
      <c r="CR25" s="74">
        <v>679.67</v>
      </c>
      <c r="CS25" s="74">
        <v>702.71195999999998</v>
      </c>
      <c r="CT25" s="74">
        <v>687.08</v>
      </c>
      <c r="CU25" s="74">
        <v>679.11</v>
      </c>
      <c r="CV25" s="74">
        <v>688.37357400000008</v>
      </c>
      <c r="CW25" s="74">
        <v>688.77</v>
      </c>
      <c r="CX25" s="74">
        <v>599.92999999999995</v>
      </c>
      <c r="CY25" s="74">
        <v>610.06842400000005</v>
      </c>
      <c r="CZ25" s="74">
        <v>600.50098777690005</v>
      </c>
      <c r="DA25" s="74">
        <v>600.16438000000005</v>
      </c>
      <c r="DB25" s="74">
        <v>600.90260999999998</v>
      </c>
      <c r="DC25" s="74">
        <v>609.89316299999996</v>
      </c>
      <c r="DD25" s="74">
        <v>435.41062400000004</v>
      </c>
      <c r="DE25" s="74">
        <v>436.40566200000001</v>
      </c>
      <c r="DF25" s="74">
        <v>435.84478599999994</v>
      </c>
      <c r="DG25" s="74">
        <v>428.51179799999994</v>
      </c>
      <c r="DH25" s="74">
        <v>433.11796799999991</v>
      </c>
      <c r="DI25" s="74">
        <v>430.06402799999995</v>
      </c>
      <c r="DJ25" s="74">
        <v>429.81482499999998</v>
      </c>
      <c r="DK25" s="74">
        <v>5790.74766</v>
      </c>
      <c r="DL25" s="74">
        <v>5817.121110000001</v>
      </c>
      <c r="DM25" s="74">
        <v>6178.2532880000008</v>
      </c>
      <c r="DN25" s="74">
        <v>6182.4685650000001</v>
      </c>
      <c r="DO25" s="74">
        <v>5939.6006670000006</v>
      </c>
      <c r="DP25" s="74">
        <v>6057.9878069999995</v>
      </c>
      <c r="DQ25" s="74">
        <v>4156.3368</v>
      </c>
      <c r="DR25" s="74">
        <v>4153.6096799999996</v>
      </c>
      <c r="DS25" s="74">
        <v>4004.8055369999997</v>
      </c>
      <c r="DT25" s="74">
        <v>4032.8142119999993</v>
      </c>
      <c r="DU25" s="74">
        <v>4055.9510519999999</v>
      </c>
      <c r="DV25" s="74">
        <v>3919.2814960000005</v>
      </c>
      <c r="DW25" s="74">
        <v>3563.5962700000005</v>
      </c>
      <c r="DX25" s="74">
        <v>3563.3683120000001</v>
      </c>
      <c r="DY25" s="74">
        <v>453.03803500000004</v>
      </c>
      <c r="DZ25" s="74">
        <v>453.71384</v>
      </c>
      <c r="EA25" s="74">
        <v>454.59640799999994</v>
      </c>
      <c r="EB25" s="74">
        <v>456.85496999999998</v>
      </c>
    </row>
    <row r="26" spans="1:132" x14ac:dyDescent="0.35">
      <c r="A26" s="49" t="s">
        <v>80</v>
      </c>
      <c r="B26" s="66" t="s">
        <v>38</v>
      </c>
      <c r="C26" s="51" t="s">
        <v>56</v>
      </c>
      <c r="D26" s="67">
        <f>170*115.6521</f>
        <v>19660.857</v>
      </c>
      <c r="E26" s="68">
        <f>161.3*116.1223</f>
        <v>18730.526990000002</v>
      </c>
      <c r="F26" s="68">
        <f>135.3*116.9832</f>
        <v>15827.82696</v>
      </c>
      <c r="G26" s="68">
        <f>122.7*117.4218</f>
        <v>14407.654860000001</v>
      </c>
      <c r="H26" s="68">
        <f>186.8*117.8553</f>
        <v>22015.370040000002</v>
      </c>
      <c r="I26" s="68">
        <f>171.4*119.0553</f>
        <v>20406.078420000002</v>
      </c>
      <c r="J26" s="68">
        <f>150.3*119.8343</f>
        <v>18011.095290000001</v>
      </c>
      <c r="K26" s="68">
        <f>143.9*119.932</f>
        <v>17258.214800000002</v>
      </c>
      <c r="L26" s="68">
        <f>161.9*120.415</f>
        <v>19495.1885</v>
      </c>
      <c r="M26" s="68">
        <f>148.2*121.3417</f>
        <v>17982.839939999998</v>
      </c>
      <c r="N26" s="68">
        <f>158.7*121.8522</f>
        <v>19337.94414</v>
      </c>
      <c r="O26" s="68">
        <f>5.4*122.0421</f>
        <v>659.02734000000009</v>
      </c>
      <c r="P26" s="69">
        <f>10.5*123.1541</f>
        <v>1293.11805</v>
      </c>
      <c r="Q26" s="69">
        <f>12.2*125.4111</f>
        <v>1530.0154199999999</v>
      </c>
      <c r="R26" s="69">
        <f>12.1*126.3835</f>
        <v>1529.24035</v>
      </c>
      <c r="S26" s="69">
        <f>11.1*126.5582</f>
        <v>1404.79602</v>
      </c>
      <c r="T26" s="69">
        <f>11.1*127.5727</f>
        <v>1416.0569699999999</v>
      </c>
      <c r="U26" s="70">
        <f>14.5*128.2704</f>
        <v>1859.9207999999999</v>
      </c>
      <c r="V26" s="70">
        <f>10*129.1064</f>
        <v>1291.0640000000001</v>
      </c>
      <c r="W26" s="70">
        <f>10.3*129.0391</f>
        <v>1329.1027300000001</v>
      </c>
      <c r="X26" s="70">
        <f>10.2*128.4404</f>
        <v>1310.0920800000001</v>
      </c>
      <c r="Y26" s="70">
        <f>10.2*128.2591</f>
        <v>1308.2428199999997</v>
      </c>
      <c r="Z26" s="70">
        <f>7*128.1053</f>
        <v>896.73710000000005</v>
      </c>
      <c r="AA26" s="70">
        <f>4.27*128.6672</f>
        <v>549.40894400000002</v>
      </c>
      <c r="AB26" s="70">
        <f>3.1*129.4011</f>
        <v>401.14341000000007</v>
      </c>
      <c r="AC26" s="70">
        <f>3.4*130.1443</f>
        <v>442.49061999999992</v>
      </c>
      <c r="AD26" s="70">
        <f>3.42*128.6228</f>
        <v>439.88997600000005</v>
      </c>
      <c r="AE26" s="70">
        <f>3.42*128.2195</f>
        <v>438.51069000000001</v>
      </c>
      <c r="AF26" s="70">
        <f>17.2*129.6466</f>
        <v>2229.9215199999999</v>
      </c>
      <c r="AG26" s="70">
        <f>15.7*129.91</f>
        <v>2039.5869999999998</v>
      </c>
      <c r="AH26" s="70">
        <f>15.7*127.2868</f>
        <v>1998.4027599999999</v>
      </c>
      <c r="AI26" s="70">
        <f>15.8*126.0787</f>
        <v>1992.0434600000001</v>
      </c>
      <c r="AJ26" s="70">
        <f>15.8*125.0004</f>
        <v>1975.0063200000002</v>
      </c>
      <c r="AK26" s="70">
        <f>20.2*125.3866</f>
        <v>2532.8093199999998</v>
      </c>
      <c r="AL26" s="70">
        <f>13.2*128.154</f>
        <v>1691.6327999999999</v>
      </c>
      <c r="AM26" s="70">
        <f>12.4*125.985</f>
        <v>1562.2139999999999</v>
      </c>
      <c r="AN26" s="70">
        <v>1566.51</v>
      </c>
      <c r="AO26" s="71">
        <v>1573.2007500000002</v>
      </c>
      <c r="AP26" s="5">
        <v>1603.8191400000001</v>
      </c>
      <c r="AQ26" s="11">
        <v>1665.9525900000001</v>
      </c>
      <c r="AR26" s="11">
        <v>756.53489999999988</v>
      </c>
      <c r="AS26" s="71">
        <v>607.79070000000002</v>
      </c>
      <c r="AT26" s="71">
        <v>668.69</v>
      </c>
      <c r="AU26" s="71">
        <v>690.08</v>
      </c>
      <c r="AV26" s="15">
        <v>727.98</v>
      </c>
      <c r="AW26" s="15">
        <v>449.13</v>
      </c>
      <c r="AX26">
        <v>218.97</v>
      </c>
      <c r="AY26">
        <v>569.1</v>
      </c>
      <c r="AZ26" s="6">
        <v>634.32000000000005</v>
      </c>
      <c r="BA26" s="6">
        <v>624.26</v>
      </c>
      <c r="BB26" s="6">
        <v>655.34</v>
      </c>
      <c r="BC26" s="6">
        <v>983.74</v>
      </c>
      <c r="BD26" s="6">
        <v>988.67</v>
      </c>
      <c r="BE26" s="71">
        <v>527.12</v>
      </c>
      <c r="BF26" s="71">
        <v>448.39</v>
      </c>
      <c r="BG26" s="71">
        <v>1738.45</v>
      </c>
      <c r="BH26" s="73">
        <v>1551.06</v>
      </c>
      <c r="BI26" s="73">
        <v>1779.38</v>
      </c>
      <c r="BJ26" s="73">
        <v>1630.27</v>
      </c>
      <c r="BK26" s="73">
        <v>1624.69</v>
      </c>
      <c r="BL26" s="73">
        <v>1701.13</v>
      </c>
      <c r="BM26" s="73">
        <v>1004.41</v>
      </c>
      <c r="BN26" s="73">
        <v>966.08</v>
      </c>
      <c r="BO26" s="73">
        <v>937.49</v>
      </c>
      <c r="BP26" s="73">
        <v>940.52</v>
      </c>
      <c r="BQ26" s="73">
        <v>895.26</v>
      </c>
      <c r="BR26" s="73">
        <v>856.67</v>
      </c>
      <c r="BS26" s="73">
        <v>132.1</v>
      </c>
      <c r="BT26" s="73">
        <v>684.72</v>
      </c>
      <c r="BU26" s="73">
        <v>673.26</v>
      </c>
      <c r="BV26" s="73">
        <v>698.93</v>
      </c>
      <c r="BW26" s="73">
        <v>850.17153999999994</v>
      </c>
      <c r="BX26" s="73">
        <v>879.55</v>
      </c>
      <c r="BY26" s="73">
        <v>911.05</v>
      </c>
      <c r="BZ26" s="73">
        <v>623.77</v>
      </c>
      <c r="CA26" s="73">
        <v>742.02</v>
      </c>
      <c r="CB26" s="73">
        <v>711.78599999999994</v>
      </c>
      <c r="CC26" s="73">
        <v>647.87404000000004</v>
      </c>
      <c r="CD26" s="73">
        <v>747.16176000000007</v>
      </c>
      <c r="CE26" s="73">
        <v>767.69</v>
      </c>
      <c r="CF26" s="73">
        <v>449.75461999999993</v>
      </c>
      <c r="CG26" s="73">
        <v>643.94148999999993</v>
      </c>
      <c r="CH26" s="73">
        <v>1022.31</v>
      </c>
      <c r="CI26" s="73">
        <v>907.3</v>
      </c>
      <c r="CJ26" s="74">
        <v>812.99</v>
      </c>
      <c r="CK26" s="74">
        <v>817.04</v>
      </c>
      <c r="CL26" s="74">
        <v>753.24325999999996</v>
      </c>
      <c r="CM26" s="74">
        <v>626.85691200000008</v>
      </c>
      <c r="CN26" s="74">
        <v>436.61</v>
      </c>
      <c r="CO26" s="74">
        <v>349.96</v>
      </c>
      <c r="CP26" s="74">
        <v>316.59300000000002</v>
      </c>
      <c r="CQ26" s="74">
        <v>307.87847199999999</v>
      </c>
      <c r="CR26" s="74">
        <v>302.58</v>
      </c>
      <c r="CS26" s="74">
        <v>241.94249500000001</v>
      </c>
      <c r="CT26" s="74">
        <v>645.58000000000004</v>
      </c>
      <c r="CU26" s="74">
        <v>49.8</v>
      </c>
      <c r="CV26" s="74">
        <v>49.060032</v>
      </c>
      <c r="CW26" s="74">
        <v>0</v>
      </c>
      <c r="CX26" s="74">
        <v>3.09</v>
      </c>
      <c r="CY26" s="74">
        <v>103.2360277168</v>
      </c>
      <c r="CZ26" s="74">
        <v>102.8308885093</v>
      </c>
      <c r="DA26" s="74">
        <v>3355.32314</v>
      </c>
      <c r="DB26" s="74">
        <v>3480.55278</v>
      </c>
      <c r="DC26" s="74">
        <v>3556.6237937999999</v>
      </c>
      <c r="DD26" s="74">
        <v>387.37599999999998</v>
      </c>
      <c r="DE26" s="74">
        <v>361.32511800000003</v>
      </c>
      <c r="DF26" s="74">
        <v>362.15879699999999</v>
      </c>
      <c r="DG26" s="74">
        <v>297.01900799999999</v>
      </c>
      <c r="DH26" s="74">
        <v>214.98971599999999</v>
      </c>
      <c r="DI26" s="74">
        <v>39363.324185999998</v>
      </c>
      <c r="DJ26" s="74">
        <v>39680.504644000001</v>
      </c>
      <c r="DK26" s="74">
        <v>39898.818480000002</v>
      </c>
      <c r="DL26" s="74">
        <v>30853.972440000001</v>
      </c>
      <c r="DM26" s="74">
        <v>31146.776016</v>
      </c>
      <c r="DN26" s="74">
        <v>30594.069025000001</v>
      </c>
      <c r="DO26" s="74">
        <v>19896.168292000002</v>
      </c>
      <c r="DP26" s="74">
        <v>19831.971960999999</v>
      </c>
      <c r="DQ26" s="74">
        <v>19956.714120000001</v>
      </c>
      <c r="DR26" s="74">
        <v>10310.077361</v>
      </c>
      <c r="DS26" s="74">
        <v>10524.293237999998</v>
      </c>
      <c r="DT26" s="74">
        <v>10821.145607999999</v>
      </c>
      <c r="DU26" s="74">
        <v>421.12717200000003</v>
      </c>
      <c r="DV26" s="74">
        <v>298.27592400000003</v>
      </c>
      <c r="DW26" s="74">
        <v>299.92258200000003</v>
      </c>
      <c r="DX26" s="74">
        <v>230.36241799999999</v>
      </c>
      <c r="DY26" s="74">
        <v>328.89594</v>
      </c>
      <c r="DZ26" s="74">
        <v>334.23047999999994</v>
      </c>
      <c r="EA26" s="74">
        <v>322.40879999999999</v>
      </c>
      <c r="EB26" s="74">
        <v>204.46655999999999</v>
      </c>
    </row>
    <row r="27" spans="1:132" x14ac:dyDescent="0.35">
      <c r="A27" s="49" t="s">
        <v>81</v>
      </c>
      <c r="B27" s="66" t="s">
        <v>39</v>
      </c>
      <c r="C27" s="51" t="s">
        <v>57</v>
      </c>
      <c r="D27" s="67">
        <f>55.1*115.6521</f>
        <v>6372.4307100000005</v>
      </c>
      <c r="E27" s="68">
        <f>54.6*116.1223</f>
        <v>6340.2775799999999</v>
      </c>
      <c r="F27" s="68">
        <f>49.8*116.9832</f>
        <v>5825.7633599999999</v>
      </c>
      <c r="G27" s="68">
        <f>49.8*117.4218</f>
        <v>5847.6056399999998</v>
      </c>
      <c r="H27" s="68">
        <f>76.4*117.8553</f>
        <v>9004.1449200000006</v>
      </c>
      <c r="I27" s="68">
        <f>74.6*119.0553</f>
        <v>8881.5253799999991</v>
      </c>
      <c r="J27" s="68">
        <f>56.1*119.8343</f>
        <v>6722.7042300000003</v>
      </c>
      <c r="K27" s="68">
        <f>45.9*119.932</f>
        <v>5504.8787999999995</v>
      </c>
      <c r="L27" s="68">
        <f>67.2*120.415</f>
        <v>8091.8880000000008</v>
      </c>
      <c r="M27" s="68">
        <f>67.2*121.3417</f>
        <v>8154.1622400000006</v>
      </c>
      <c r="N27" s="68">
        <f>66.5*121.8522</f>
        <v>8103.1713</v>
      </c>
      <c r="O27" s="68">
        <f>2.2*122.0421</f>
        <v>268.49262000000004</v>
      </c>
      <c r="P27" s="69">
        <f>0</f>
        <v>0</v>
      </c>
      <c r="Q27" s="69">
        <f>0</f>
        <v>0</v>
      </c>
      <c r="R27" s="69">
        <f>1.5*126.3835</f>
        <v>189.57524999999998</v>
      </c>
      <c r="S27" s="69">
        <f>1.5*126.5582</f>
        <v>189.8373</v>
      </c>
      <c r="T27" s="69">
        <f>1.6*127.5727</f>
        <v>204.11632</v>
      </c>
      <c r="U27" s="70">
        <f>1.6*128.2704</f>
        <v>205.23264</v>
      </c>
      <c r="V27" s="70">
        <f>11.9*129.1064</f>
        <v>1536.36616</v>
      </c>
      <c r="W27" s="70">
        <f>11.8*129.0391</f>
        <v>1522.66138</v>
      </c>
      <c r="X27" s="70">
        <f>15.4*128.4404</f>
        <v>1977.9821600000002</v>
      </c>
      <c r="Y27" s="70">
        <f>15.7*128.2591</f>
        <v>2013.6678699999998</v>
      </c>
      <c r="Z27" s="70">
        <f>15.51*128.1053</f>
        <v>1986.9132030000001</v>
      </c>
      <c r="AA27" s="70">
        <f>16.04*128.6672</f>
        <v>2063.8218879999999</v>
      </c>
      <c r="AB27" s="70">
        <f>11.1*129.4011</f>
        <v>1436.35221</v>
      </c>
      <c r="AC27" s="70">
        <f>11.4*130.1443</f>
        <v>1483.6450199999999</v>
      </c>
      <c r="AD27" s="70">
        <f>12.4*128.6228</f>
        <v>1594.9227200000003</v>
      </c>
      <c r="AE27" s="70">
        <f>12.61*128.2195</f>
        <v>1616.8478950000001</v>
      </c>
      <c r="AF27" s="70">
        <f>12.6*129.6466</f>
        <v>1633.5471600000001</v>
      </c>
      <c r="AG27" s="70">
        <f>11.6*129.91</f>
        <v>1506.9559999999999</v>
      </c>
      <c r="AH27" s="70">
        <f>5*127.2868</f>
        <v>636.43399999999997</v>
      </c>
      <c r="AI27" s="70">
        <f>5*126.0787</f>
        <v>630.39350000000002</v>
      </c>
      <c r="AJ27" s="70">
        <f>7.6*125.0004</f>
        <v>950.00303999999994</v>
      </c>
      <c r="AK27" s="70">
        <f>7.9*125.3866</f>
        <v>990.55414000000007</v>
      </c>
      <c r="AL27" s="70">
        <f>7.8*128.1543</f>
        <v>999.60354000000007</v>
      </c>
      <c r="AM27" s="70">
        <f>6.8*125.985</f>
        <v>856.69799999999998</v>
      </c>
      <c r="AN27" s="70">
        <v>1641.71</v>
      </c>
      <c r="AO27" s="71">
        <v>1649.9422500000001</v>
      </c>
      <c r="AP27" s="5">
        <v>1649.9422500000001</v>
      </c>
      <c r="AQ27" s="11">
        <v>1164.8123800000001</v>
      </c>
      <c r="AR27" s="11">
        <v>1182.9454799999999</v>
      </c>
      <c r="AS27" s="71">
        <v>1161.55556</v>
      </c>
      <c r="AT27" s="71">
        <v>694.41</v>
      </c>
      <c r="AU27" s="71">
        <v>690.08</v>
      </c>
      <c r="AV27" s="15">
        <v>319.29000000000002</v>
      </c>
      <c r="AW27" s="15">
        <v>421.91</v>
      </c>
      <c r="AX27" s="77">
        <v>399.3</v>
      </c>
      <c r="AY27" s="77">
        <v>392.05</v>
      </c>
      <c r="AZ27" s="6">
        <v>0</v>
      </c>
      <c r="BA27" s="6">
        <v>2908.78</v>
      </c>
      <c r="BB27" s="6">
        <v>2896.61</v>
      </c>
      <c r="BC27" s="6">
        <v>3743.69</v>
      </c>
      <c r="BD27" s="6">
        <v>2974.26</v>
      </c>
      <c r="BE27" s="71">
        <v>2838.34</v>
      </c>
      <c r="BF27" s="71">
        <v>2998.6</v>
      </c>
      <c r="BG27" s="71">
        <v>1453.23</v>
      </c>
      <c r="BH27" s="73">
        <v>1391.97</v>
      </c>
      <c r="BI27" s="73">
        <v>1522.36</v>
      </c>
      <c r="BJ27" s="73">
        <v>1465.87</v>
      </c>
      <c r="BK27" s="73">
        <v>1421.6</v>
      </c>
      <c r="BL27" s="73">
        <v>1500.99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</v>
      </c>
      <c r="BZ27" s="73">
        <v>0</v>
      </c>
      <c r="CA27" s="73">
        <v>0</v>
      </c>
      <c r="CB27" s="73">
        <v>0</v>
      </c>
      <c r="CC27" s="73">
        <v>0</v>
      </c>
      <c r="CD27" s="73">
        <v>0</v>
      </c>
      <c r="CE27" s="73">
        <v>0</v>
      </c>
      <c r="CF27" s="73">
        <v>0</v>
      </c>
      <c r="CG27" s="73">
        <v>0</v>
      </c>
      <c r="CH27" s="73">
        <v>0</v>
      </c>
      <c r="CI27" s="73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F27" s="74">
        <v>0</v>
      </c>
      <c r="DG27" s="74">
        <v>0</v>
      </c>
      <c r="DH27" s="74">
        <v>0</v>
      </c>
      <c r="DI27" s="74">
        <v>0</v>
      </c>
      <c r="DJ27" s="74">
        <v>0</v>
      </c>
      <c r="DK27" s="74">
        <v>0</v>
      </c>
      <c r="DL27" s="74">
        <v>0</v>
      </c>
      <c r="DM27" s="74">
        <v>0</v>
      </c>
      <c r="DN27" s="74">
        <v>0</v>
      </c>
      <c r="DO27" s="74">
        <v>0</v>
      </c>
      <c r="DP27" s="74">
        <v>0</v>
      </c>
      <c r="DQ27" s="74">
        <v>0</v>
      </c>
      <c r="DR27" s="74">
        <v>0</v>
      </c>
      <c r="DS27" s="74">
        <v>0</v>
      </c>
      <c r="DT27" s="74">
        <v>0</v>
      </c>
      <c r="DU27" s="74">
        <v>0</v>
      </c>
      <c r="DV27" s="74">
        <v>0</v>
      </c>
      <c r="DW27" s="74">
        <v>0</v>
      </c>
      <c r="DX27" s="74">
        <v>0</v>
      </c>
      <c r="DY27" s="74">
        <v>0</v>
      </c>
      <c r="DZ27" s="74">
        <v>0</v>
      </c>
      <c r="EA27" s="74">
        <v>0</v>
      </c>
      <c r="EB27" s="74">
        <v>0</v>
      </c>
    </row>
    <row r="28" spans="1:132" x14ac:dyDescent="0.35">
      <c r="A28" s="49" t="s">
        <v>82</v>
      </c>
      <c r="B28" s="66" t="s">
        <v>40</v>
      </c>
      <c r="C28" s="51" t="s">
        <v>58</v>
      </c>
      <c r="D28" s="67">
        <f>1.4*115.6521</f>
        <v>161.91293999999999</v>
      </c>
      <c r="E28" s="68">
        <f>1.4*116.1223</f>
        <v>162.57121999999998</v>
      </c>
      <c r="F28" s="68">
        <f>0.6*116.9832</f>
        <v>70.189920000000001</v>
      </c>
      <c r="G28" s="68">
        <f>0.6*117.4218</f>
        <v>70.45308</v>
      </c>
      <c r="H28" s="68">
        <f>1.9*117.8553</f>
        <v>223.92506999999998</v>
      </c>
      <c r="I28" s="68">
        <f>1.6*119.0553</f>
        <v>190.48848000000001</v>
      </c>
      <c r="J28" s="68">
        <f>1.6*119.8343</f>
        <v>191.73488</v>
      </c>
      <c r="K28" s="68">
        <f>1.6*119.932</f>
        <v>191.89120000000003</v>
      </c>
      <c r="L28" s="68">
        <f>1.6*120.415</f>
        <v>192.66400000000002</v>
      </c>
      <c r="M28" s="68">
        <f>1.6*121.3417</f>
        <v>194.14672000000002</v>
      </c>
      <c r="N28" s="68">
        <f>1*121.8522</f>
        <v>121.8522</v>
      </c>
      <c r="O28" s="68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">
        <v>0</v>
      </c>
      <c r="AF28" s="7">
        <v>0</v>
      </c>
      <c r="AG28" s="7">
        <v>0</v>
      </c>
      <c r="AH28" s="7">
        <v>0</v>
      </c>
      <c r="AI28" s="82">
        <f>0*126.0787</f>
        <v>0</v>
      </c>
      <c r="AJ28" s="82">
        <f>0*125.0004</f>
        <v>0</v>
      </c>
      <c r="AK28" s="82">
        <f>0*1253866</f>
        <v>0</v>
      </c>
      <c r="AL28" s="70">
        <f>0*128.154</f>
        <v>0</v>
      </c>
      <c r="AM28" s="70">
        <f>0*125.985</f>
        <v>0</v>
      </c>
      <c r="AN28" s="70">
        <v>0</v>
      </c>
      <c r="AO28" s="70">
        <v>0</v>
      </c>
      <c r="AP28" s="70">
        <v>0</v>
      </c>
      <c r="AQ28" s="75">
        <v>0</v>
      </c>
      <c r="AR28" s="75">
        <v>0</v>
      </c>
      <c r="AS28" s="76">
        <v>0</v>
      </c>
      <c r="AT28" s="71">
        <v>0</v>
      </c>
      <c r="AU28" s="71">
        <v>0</v>
      </c>
      <c r="AV28" s="15">
        <v>0</v>
      </c>
      <c r="AW28" s="15">
        <v>0</v>
      </c>
      <c r="AX28" s="72">
        <v>0</v>
      </c>
      <c r="AY28" s="72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5">
        <v>0</v>
      </c>
      <c r="BF28" s="5">
        <v>0</v>
      </c>
      <c r="BG28" s="5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F28" s="74">
        <v>0</v>
      </c>
      <c r="DG28" s="74">
        <v>0</v>
      </c>
      <c r="DH28" s="74">
        <v>0</v>
      </c>
      <c r="DI28" s="74">
        <v>0</v>
      </c>
      <c r="DJ28" s="74">
        <v>0</v>
      </c>
      <c r="DK28" s="74">
        <v>0</v>
      </c>
      <c r="DL28" s="74">
        <v>0</v>
      </c>
      <c r="DM28" s="74">
        <v>0</v>
      </c>
      <c r="DN28" s="74">
        <v>0</v>
      </c>
      <c r="DO28" s="74">
        <v>0</v>
      </c>
      <c r="DP28" s="74">
        <v>0</v>
      </c>
      <c r="DQ28" s="74">
        <v>0</v>
      </c>
      <c r="DR28" s="74">
        <v>0</v>
      </c>
      <c r="DS28" s="74">
        <v>0</v>
      </c>
      <c r="DT28" s="74">
        <v>0</v>
      </c>
      <c r="DU28" s="74">
        <v>0</v>
      </c>
      <c r="DV28" s="74">
        <v>0</v>
      </c>
      <c r="DW28" s="74">
        <v>0</v>
      </c>
      <c r="DX28" s="74">
        <v>0</v>
      </c>
      <c r="DY28" s="74">
        <v>0</v>
      </c>
      <c r="DZ28" s="74">
        <v>0</v>
      </c>
      <c r="EA28" s="74">
        <v>0</v>
      </c>
      <c r="EB28" s="74">
        <v>0</v>
      </c>
    </row>
    <row r="29" spans="1:132" x14ac:dyDescent="0.35">
      <c r="A29" s="49" t="s">
        <v>83</v>
      </c>
      <c r="B29" s="66" t="s">
        <v>41</v>
      </c>
      <c r="C29" s="51" t="s">
        <v>59</v>
      </c>
      <c r="D29" s="67">
        <f>410*115.6521</f>
        <v>47417.361000000004</v>
      </c>
      <c r="E29" s="68">
        <f>402.1*116.1223</f>
        <v>46692.776830000003</v>
      </c>
      <c r="F29" s="68">
        <f>140*116.9832</f>
        <v>16377.647999999999</v>
      </c>
      <c r="G29" s="68">
        <f>10.1*117.4218</f>
        <v>1185.96018</v>
      </c>
      <c r="H29" s="68">
        <f>10.1*117.8553</f>
        <v>1190.33853</v>
      </c>
      <c r="I29" s="68">
        <f>10.1*119.0553</f>
        <v>1202.4585299999999</v>
      </c>
      <c r="J29" s="68">
        <f>10.1*119.8343</f>
        <v>1210.3264299999998</v>
      </c>
      <c r="K29" s="68">
        <f>2.2*119.932</f>
        <v>263.85040000000004</v>
      </c>
      <c r="L29" s="68">
        <f>15.8*120.415</f>
        <v>1902.5570000000002</v>
      </c>
      <c r="M29" s="68">
        <f>15.8*121.3417</f>
        <v>1917.1988600000002</v>
      </c>
      <c r="N29" s="68">
        <f>15.8*121.8522</f>
        <v>1925.26476</v>
      </c>
      <c r="O29" s="68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70">
        <v>0</v>
      </c>
      <c r="V29" s="70">
        <v>0</v>
      </c>
      <c r="W29" s="70">
        <v>0</v>
      </c>
      <c r="X29" s="70">
        <f>79*128.4404</f>
        <v>10146.7916</v>
      </c>
      <c r="Y29" s="70">
        <f>78.3*128.2591</f>
        <v>10042.687529999999</v>
      </c>
      <c r="Z29" s="70">
        <f>78.3*128.1053</f>
        <v>10030.644989999999</v>
      </c>
      <c r="AA29" s="80">
        <f>79.05*128.6672</f>
        <v>10171.142159999999</v>
      </c>
      <c r="AB29" s="70">
        <f>79*129.4011</f>
        <v>10222.686900000001</v>
      </c>
      <c r="AC29" s="70">
        <f>79*130.1443</f>
        <v>10281.399699999998</v>
      </c>
      <c r="AD29" s="70">
        <v>0</v>
      </c>
      <c r="AE29" s="7">
        <v>0</v>
      </c>
      <c r="AF29" s="7">
        <v>0</v>
      </c>
      <c r="AG29" s="7">
        <v>0</v>
      </c>
      <c r="AH29" s="7">
        <v>0</v>
      </c>
      <c r="AI29" s="82">
        <f>0*126.0787</f>
        <v>0</v>
      </c>
      <c r="AJ29" s="82">
        <f>0*125.0004</f>
        <v>0</v>
      </c>
      <c r="AK29" s="82">
        <f>0*125.004</f>
        <v>0</v>
      </c>
      <c r="AL29" s="70">
        <f>0*128.154</f>
        <v>0</v>
      </c>
      <c r="AM29" s="70">
        <f>99.3*125.985</f>
        <v>12510.3105</v>
      </c>
      <c r="AN29" s="70">
        <v>0</v>
      </c>
      <c r="AO29" s="70">
        <v>0</v>
      </c>
      <c r="AP29" s="5">
        <v>11500.556759999999</v>
      </c>
      <c r="AQ29" s="75">
        <v>11946.09906</v>
      </c>
      <c r="AR29" s="75">
        <v>12132.068759999998</v>
      </c>
      <c r="AS29" s="71">
        <v>11912.697720000002</v>
      </c>
      <c r="AT29" s="71">
        <v>11342.07</v>
      </c>
      <c r="AU29" s="71">
        <v>11271.28</v>
      </c>
      <c r="AV29" s="15">
        <v>11264.57</v>
      </c>
      <c r="AW29" s="15">
        <v>12004.02</v>
      </c>
      <c r="AX29" s="72">
        <v>11360.72</v>
      </c>
      <c r="AY29" s="72">
        <v>11154.35</v>
      </c>
      <c r="AZ29" s="6">
        <v>11903.54</v>
      </c>
      <c r="BA29" s="6">
        <v>11714.79</v>
      </c>
      <c r="BB29" s="6">
        <v>0</v>
      </c>
      <c r="BC29" s="6">
        <v>0</v>
      </c>
      <c r="BD29" s="6">
        <v>0</v>
      </c>
      <c r="BE29" s="71">
        <v>0</v>
      </c>
      <c r="BF29" s="71">
        <v>0</v>
      </c>
      <c r="BG29" s="71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176.14</v>
      </c>
      <c r="BT29" s="73">
        <v>171.18</v>
      </c>
      <c r="BU29" s="73">
        <v>179.54</v>
      </c>
      <c r="BV29" s="73">
        <v>182.33</v>
      </c>
      <c r="BW29" s="73">
        <v>168.57</v>
      </c>
      <c r="BX29" s="73">
        <v>169.74</v>
      </c>
      <c r="BY29" s="73">
        <v>70.2</v>
      </c>
      <c r="BZ29" s="73">
        <v>70.099999999999994</v>
      </c>
      <c r="CA29" s="73">
        <v>77.290000000000006</v>
      </c>
      <c r="CB29" s="73">
        <v>71.483000000000004</v>
      </c>
      <c r="CC29" s="73">
        <v>73.622050000000002</v>
      </c>
      <c r="CD29" s="73">
        <v>77.829350000000005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F29" s="74">
        <v>0</v>
      </c>
      <c r="DG29" s="74">
        <v>0</v>
      </c>
      <c r="DH29" s="74">
        <v>0</v>
      </c>
      <c r="DI29" s="74">
        <v>0</v>
      </c>
      <c r="DJ29" s="74">
        <v>13955.696627000001</v>
      </c>
      <c r="DK29" s="74">
        <v>14065.719765000002</v>
      </c>
      <c r="DL29" s="74">
        <v>14110.587990000002</v>
      </c>
      <c r="DM29" s="74">
        <v>14170.465864000002</v>
      </c>
      <c r="DN29" s="74">
        <v>14209.333801000001</v>
      </c>
      <c r="DO29" s="74">
        <v>0</v>
      </c>
      <c r="DP29" s="74">
        <v>0</v>
      </c>
      <c r="DQ29" s="74">
        <v>0</v>
      </c>
      <c r="DR29" s="74">
        <v>0</v>
      </c>
      <c r="DS29" s="74">
        <v>24549.822158999999</v>
      </c>
      <c r="DT29" s="74">
        <v>24721.517883999997</v>
      </c>
      <c r="DU29" s="74">
        <v>24824.085732000003</v>
      </c>
      <c r="DV29" s="74">
        <v>24861.137902000002</v>
      </c>
      <c r="DW29" s="74">
        <v>11280.959052</v>
      </c>
      <c r="DX29" s="74">
        <v>11270.038295999999</v>
      </c>
      <c r="DY29" s="74">
        <v>11279.196059999998</v>
      </c>
      <c r="DZ29" s="74">
        <v>0</v>
      </c>
      <c r="EA29" s="74">
        <v>0</v>
      </c>
      <c r="EB29" s="74">
        <v>0</v>
      </c>
    </row>
    <row r="30" spans="1:132" x14ac:dyDescent="0.35">
      <c r="A30" s="49" t="s">
        <v>84</v>
      </c>
      <c r="B30" s="78" t="s">
        <v>32</v>
      </c>
      <c r="C30" s="51" t="s">
        <v>60</v>
      </c>
      <c r="D30" s="61">
        <f t="shared" ref="D30:O30" si="44">SUM(D31:D35)</f>
        <v>911095.67858999991</v>
      </c>
      <c r="E30" s="62">
        <f t="shared" si="44"/>
        <v>913429.62402999995</v>
      </c>
      <c r="F30" s="62">
        <f t="shared" si="44"/>
        <v>927606.58608000004</v>
      </c>
      <c r="G30" s="62">
        <f t="shared" si="44"/>
        <v>1168264.71474</v>
      </c>
      <c r="H30" s="62">
        <f t="shared" si="44"/>
        <v>1174545.9198000003</v>
      </c>
      <c r="I30" s="62">
        <f t="shared" si="44"/>
        <v>1188576.6820200002</v>
      </c>
      <c r="J30" s="62">
        <f t="shared" si="44"/>
        <v>1196677.30323</v>
      </c>
      <c r="K30" s="62">
        <f t="shared" si="44"/>
        <v>1194966.4684000001</v>
      </c>
      <c r="L30" s="62">
        <f t="shared" si="44"/>
        <v>1202656.8539999998</v>
      </c>
      <c r="M30" s="62">
        <f t="shared" si="44"/>
        <v>1212846.6940100002</v>
      </c>
      <c r="N30" s="62">
        <f t="shared" si="44"/>
        <v>1209809.5677</v>
      </c>
      <c r="O30" s="62">
        <f t="shared" si="44"/>
        <v>1248856.8093000003</v>
      </c>
      <c r="P30" s="54">
        <f t="shared" ref="P30:AM30" si="45">SUM(P31:P35)</f>
        <v>1255863.93475</v>
      </c>
      <c r="Q30" s="54">
        <f t="shared" si="45"/>
        <v>1272885.0416700002</v>
      </c>
      <c r="R30" s="54">
        <f t="shared" si="45"/>
        <v>1286293.3479499999</v>
      </c>
      <c r="S30" s="54">
        <f t="shared" si="45"/>
        <v>1282616.7337199999</v>
      </c>
      <c r="T30" s="54">
        <f t="shared" si="45"/>
        <v>1303423.0331700002</v>
      </c>
      <c r="U30" s="55">
        <f t="shared" si="45"/>
        <v>1314207.2102399999</v>
      </c>
      <c r="V30" s="55">
        <f t="shared" si="45"/>
        <v>1316420.4969600001</v>
      </c>
      <c r="W30" s="55">
        <f t="shared" si="45"/>
        <v>1309785.5767299999</v>
      </c>
      <c r="X30" s="55">
        <f t="shared" si="45"/>
        <v>1298660.8844000003</v>
      </c>
      <c r="Y30" s="55">
        <f t="shared" si="45"/>
        <v>1296827.7600999998</v>
      </c>
      <c r="Z30" s="55">
        <f t="shared" si="45"/>
        <v>1290148.4763000002</v>
      </c>
      <c r="AA30" s="55">
        <f t="shared" si="45"/>
        <v>1294195.2998512001</v>
      </c>
      <c r="AB30" s="55">
        <f t="shared" si="45"/>
        <v>1230006.6279180001</v>
      </c>
      <c r="AC30" s="55">
        <f t="shared" si="45"/>
        <v>1237464.0621199999</v>
      </c>
      <c r="AD30" s="55">
        <f t="shared" si="45"/>
        <v>1206916.4572640001</v>
      </c>
      <c r="AE30" s="55">
        <f t="shared" si="45"/>
        <v>1210425.41707</v>
      </c>
      <c r="AF30" s="55">
        <f t="shared" si="45"/>
        <v>1314823.9585600002</v>
      </c>
      <c r="AG30" s="55">
        <f t="shared" si="45"/>
        <v>1314767.1459999999</v>
      </c>
      <c r="AH30" s="55">
        <f t="shared" si="45"/>
        <v>1285545.7652799999</v>
      </c>
      <c r="AI30" s="55">
        <f t="shared" si="45"/>
        <v>1270570.7071199999</v>
      </c>
      <c r="AJ30" s="55">
        <f t="shared" si="45"/>
        <v>1256129.0195999998</v>
      </c>
      <c r="AK30" s="55">
        <f t="shared" si="45"/>
        <v>1261013.0362</v>
      </c>
      <c r="AL30" s="55">
        <f t="shared" si="45"/>
        <v>1286127.9108599997</v>
      </c>
      <c r="AM30" s="55">
        <f t="shared" si="45"/>
        <v>1252794.8399999999</v>
      </c>
      <c r="AN30" s="55">
        <v>1257296.47</v>
      </c>
      <c r="AO30" s="56">
        <v>1286072.42775</v>
      </c>
      <c r="AP30" s="9">
        <f>SUM(AP31:AP35)</f>
        <v>1277895.4644500001</v>
      </c>
      <c r="AQ30" s="9">
        <f>SUM(AQ31:AQ35)</f>
        <v>1326504.5899999999</v>
      </c>
      <c r="AR30" s="9">
        <v>1348241.4780599996</v>
      </c>
      <c r="AS30" s="79">
        <f t="shared" ref="AS30:BG30" si="46">SUM(AS31:AS35)</f>
        <v>1323295.4185000001</v>
      </c>
      <c r="AT30" s="9">
        <f t="shared" si="46"/>
        <v>1259368.43</v>
      </c>
      <c r="AU30" s="9">
        <f t="shared" si="46"/>
        <v>1249770.3591899998</v>
      </c>
      <c r="AV30" s="2">
        <f t="shared" si="46"/>
        <v>1253712.02</v>
      </c>
      <c r="AW30" s="2">
        <f t="shared" si="46"/>
        <v>1332776.94</v>
      </c>
      <c r="AX30" s="79">
        <f t="shared" si="46"/>
        <v>1258747.6599999999</v>
      </c>
      <c r="AY30" s="79">
        <f t="shared" si="46"/>
        <v>1234402.54</v>
      </c>
      <c r="AZ30" s="9">
        <f t="shared" si="46"/>
        <v>1317311.8799999999</v>
      </c>
      <c r="BA30" s="9">
        <f t="shared" si="46"/>
        <v>1292088.71</v>
      </c>
      <c r="BB30" s="9">
        <f t="shared" si="46"/>
        <v>1275188.73</v>
      </c>
      <c r="BC30" s="9">
        <f t="shared" si="46"/>
        <v>1323201.95</v>
      </c>
      <c r="BD30" s="9">
        <f t="shared" si="46"/>
        <v>1329771.19</v>
      </c>
      <c r="BE30" s="56">
        <f t="shared" si="46"/>
        <v>1243869.2</v>
      </c>
      <c r="BF30" s="56">
        <f t="shared" si="46"/>
        <v>1287790.48</v>
      </c>
      <c r="BG30" s="56">
        <f t="shared" si="46"/>
        <v>1249602.57</v>
      </c>
      <c r="BH30" s="63">
        <f>SUM(BH31:BH35)</f>
        <v>1221022.8</v>
      </c>
      <c r="BI30" s="63">
        <f t="shared" ref="BI30:DE30" si="47">SUM(BI31:BI35)</f>
        <v>1293641.42</v>
      </c>
      <c r="BJ30" s="63">
        <f t="shared" si="47"/>
        <v>1254554.6099999999</v>
      </c>
      <c r="BK30" s="63">
        <f t="shared" si="47"/>
        <v>1242010.21</v>
      </c>
      <c r="BL30" s="63">
        <f t="shared" si="47"/>
        <v>1314012.03</v>
      </c>
      <c r="BM30" s="63">
        <f t="shared" si="47"/>
        <v>1318235.6799532</v>
      </c>
      <c r="BN30" s="63">
        <f t="shared" si="47"/>
        <v>1282907.7</v>
      </c>
      <c r="BO30" s="63">
        <f t="shared" si="47"/>
        <v>1349356.3900000001</v>
      </c>
      <c r="BP30" s="63">
        <f t="shared" si="47"/>
        <v>1357013.9019199999</v>
      </c>
      <c r="BQ30" s="63">
        <f t="shared" si="47"/>
        <v>1291590.52</v>
      </c>
      <c r="BR30" s="63">
        <f t="shared" si="47"/>
        <v>1303248.8900000001</v>
      </c>
      <c r="BS30" s="63">
        <f t="shared" si="47"/>
        <v>1346823.93</v>
      </c>
      <c r="BT30" s="63">
        <f t="shared" si="47"/>
        <v>1307085.55</v>
      </c>
      <c r="BU30" s="63">
        <f t="shared" si="47"/>
        <v>1363407.4</v>
      </c>
      <c r="BV30" s="63">
        <f t="shared" si="47"/>
        <v>1381321.47</v>
      </c>
      <c r="BW30" s="63">
        <f t="shared" si="47"/>
        <v>1355173.4347600001</v>
      </c>
      <c r="BX30" s="63">
        <f t="shared" si="47"/>
        <v>1433476.26</v>
      </c>
      <c r="BY30" s="63">
        <f t="shared" si="47"/>
        <v>1385073.25</v>
      </c>
      <c r="BZ30" s="63">
        <f t="shared" si="47"/>
        <v>1377700.5</v>
      </c>
      <c r="CA30" s="63">
        <f t="shared" si="47"/>
        <v>1426336.17</v>
      </c>
      <c r="CB30" s="63">
        <f t="shared" si="47"/>
        <v>1400108.6809999999</v>
      </c>
      <c r="CC30" s="63">
        <f t="shared" si="47"/>
        <v>1351362.1765699999</v>
      </c>
      <c r="CD30" s="63">
        <f t="shared" si="47"/>
        <v>1425257.7548099998</v>
      </c>
      <c r="CE30" s="63">
        <f t="shared" si="47"/>
        <v>1430619.9500000002</v>
      </c>
      <c r="CF30" s="63">
        <f t="shared" si="47"/>
        <v>1420356.1075200001</v>
      </c>
      <c r="CG30" s="63">
        <f t="shared" si="47"/>
        <v>1399127.7988700001</v>
      </c>
      <c r="CH30" s="63">
        <f t="shared" si="47"/>
        <v>1407425.12</v>
      </c>
      <c r="CI30" s="63">
        <f t="shared" si="47"/>
        <v>1403910.8176799999</v>
      </c>
      <c r="CJ30" s="64">
        <f t="shared" si="47"/>
        <v>1410683.409952</v>
      </c>
      <c r="CK30" s="64">
        <f t="shared" si="47"/>
        <v>1408564.26</v>
      </c>
      <c r="CL30" s="64">
        <f t="shared" si="47"/>
        <v>1378341.1998399999</v>
      </c>
      <c r="CM30" s="64">
        <f t="shared" si="47"/>
        <v>1389125.6718900001</v>
      </c>
      <c r="CN30" s="64">
        <f t="shared" si="47"/>
        <v>1374820.93</v>
      </c>
      <c r="CO30" s="64">
        <f t="shared" si="47"/>
        <v>1382120.96</v>
      </c>
      <c r="CP30" s="64">
        <f t="shared" si="47"/>
        <v>1392668.93</v>
      </c>
      <c r="CQ30" s="64">
        <f t="shared" si="47"/>
        <v>1396267.5487199998</v>
      </c>
      <c r="CR30" s="64">
        <f t="shared" si="47"/>
        <v>1369574.3199999998</v>
      </c>
      <c r="CS30" s="64">
        <f t="shared" si="47"/>
        <v>1386242.657355</v>
      </c>
      <c r="CT30" s="64">
        <f t="shared" si="47"/>
        <v>1377933.68</v>
      </c>
      <c r="CU30" s="64">
        <f t="shared" si="47"/>
        <v>1352345.5899999999</v>
      </c>
      <c r="CV30" s="64">
        <f t="shared" si="47"/>
        <v>1373112.1062540002</v>
      </c>
      <c r="CW30" s="64">
        <f t="shared" si="47"/>
        <v>1391813.44</v>
      </c>
      <c r="CX30" s="64">
        <f t="shared" si="47"/>
        <v>1381030.17</v>
      </c>
      <c r="CY30" s="64">
        <f t="shared" si="47"/>
        <v>1363246.7494815723</v>
      </c>
      <c r="CZ30" s="64">
        <f t="shared" si="47"/>
        <v>1443972.0667382497</v>
      </c>
      <c r="DA30" s="64">
        <f t="shared" si="47"/>
        <v>1438023.1312798862</v>
      </c>
      <c r="DB30" s="64">
        <f t="shared" si="47"/>
        <v>1439909.367444</v>
      </c>
      <c r="DC30" s="64">
        <f t="shared" si="47"/>
        <v>1421676.481863</v>
      </c>
      <c r="DD30" s="64">
        <f t="shared" si="47"/>
        <v>1419093.094848</v>
      </c>
      <c r="DE30" s="64">
        <f t="shared" si="47"/>
        <v>1423799.2812119999</v>
      </c>
      <c r="DF30" s="64">
        <f>SUM(DF31:DF35)</f>
        <v>1412989.9827679999</v>
      </c>
      <c r="DG30" s="64">
        <f t="shared" ref="DG30:DU30" si="48">SUM(DG31:DG35)</f>
        <v>1431274.2675659999</v>
      </c>
      <c r="DH30" s="64">
        <f t="shared" si="48"/>
        <v>1450151.1431919998</v>
      </c>
      <c r="DI30" s="64">
        <f t="shared" si="48"/>
        <v>1390756.9474170001</v>
      </c>
      <c r="DJ30" s="64">
        <f t="shared" si="48"/>
        <v>1375988.8622360001</v>
      </c>
      <c r="DK30" s="64">
        <f t="shared" si="48"/>
        <v>1357601.091705</v>
      </c>
      <c r="DL30" s="64">
        <f t="shared" si="48"/>
        <v>1361182.63509</v>
      </c>
      <c r="DM30" s="64">
        <f t="shared" si="48"/>
        <v>1401995.3266560002</v>
      </c>
      <c r="DN30" s="64">
        <f t="shared" si="48"/>
        <v>1400953.7423050001</v>
      </c>
      <c r="DO30" s="64">
        <f t="shared" si="48"/>
        <v>1381854.3068330002</v>
      </c>
      <c r="DP30" s="64">
        <f t="shared" si="48"/>
        <v>1370292.4410629999</v>
      </c>
      <c r="DQ30" s="64">
        <f t="shared" si="48"/>
        <v>1372691.6286300002</v>
      </c>
      <c r="DR30" s="64">
        <f t="shared" si="48"/>
        <v>1368674.176366</v>
      </c>
      <c r="DS30" s="64">
        <f t="shared" si="48"/>
        <v>1374847.0488120001</v>
      </c>
      <c r="DT30" s="64">
        <f t="shared" si="48"/>
        <v>1384712.7647079998</v>
      </c>
      <c r="DU30" s="64">
        <f t="shared" si="48"/>
        <v>1388935.05804</v>
      </c>
      <c r="DV30" s="64">
        <f t="shared" ref="DV30:DW30" si="49">SUM(DV31:DV35)</f>
        <v>1388118.4194720001</v>
      </c>
      <c r="DW30" s="64">
        <f t="shared" si="49"/>
        <v>1387894.9731790002</v>
      </c>
      <c r="DX30" s="64">
        <f t="shared" ref="DX30:DY30" si="50">SUM(DX31:DX35)</f>
        <v>1385530.0668580001</v>
      </c>
      <c r="DY30" s="64">
        <f t="shared" si="50"/>
        <v>1383692.6275749998</v>
      </c>
      <c r="DZ30" s="64">
        <f t="shared" ref="DZ30:EA30" si="51">SUM(DZ31:DZ35)</f>
        <v>1381213.3358896</v>
      </c>
      <c r="EA30" s="64">
        <f t="shared" si="51"/>
        <v>1377714.0600719999</v>
      </c>
      <c r="EB30" s="64">
        <f t="shared" ref="EB30" si="52">SUM(EB31:EB35)</f>
        <v>1370307.7294049999</v>
      </c>
    </row>
    <row r="31" spans="1:132" x14ac:dyDescent="0.35">
      <c r="A31" s="49" t="s">
        <v>85</v>
      </c>
      <c r="B31" s="66" t="s">
        <v>37</v>
      </c>
      <c r="C31" s="51" t="s">
        <v>61</v>
      </c>
      <c r="D31" s="67">
        <f>788.1*115.6521-D25</f>
        <v>87062.900880000001</v>
      </c>
      <c r="E31" s="68">
        <f>781.9*116.1223-E25</f>
        <v>87114.949459999989</v>
      </c>
      <c r="F31" s="68">
        <f>780.8*116.9832-F25</f>
        <v>87901.176479999995</v>
      </c>
      <c r="G31" s="68">
        <f>777.3*117.4218-G25</f>
        <v>88371.646680000005</v>
      </c>
      <c r="H31" s="68">
        <f>818.4*117.8553-H25</f>
        <v>86930.069279999996</v>
      </c>
      <c r="I31" s="68">
        <f>780.9*119.0553-I25</f>
        <v>84362.585579999999</v>
      </c>
      <c r="J31" s="68">
        <f>783.2*119.8343-J25</f>
        <v>85741.441650000008</v>
      </c>
      <c r="K31" s="68">
        <f>776.3*119.932-K25</f>
        <v>85343.611199999999</v>
      </c>
      <c r="L31" s="68">
        <f>782.9*120.415-L25</f>
        <v>84651.744999999995</v>
      </c>
      <c r="M31" s="68">
        <f>758.6*121.3417-M25</f>
        <v>87681.512419999999</v>
      </c>
      <c r="N31" s="68">
        <f>761*121.8522-N25</f>
        <v>82762.014240000004</v>
      </c>
      <c r="O31" s="68">
        <f>751*122.0421-O25</f>
        <v>88626.973020000005</v>
      </c>
      <c r="P31" s="69">
        <f>746.2*123.1541-P25</f>
        <v>88535.482490000009</v>
      </c>
      <c r="Q31" s="69">
        <f>735.3*125.4111-Q25</f>
        <v>88013.509979999988</v>
      </c>
      <c r="R31" s="69">
        <f>738.1*126.3835-R25</f>
        <v>89075.090799999991</v>
      </c>
      <c r="S31" s="69">
        <f>714.4*126.5582-S25</f>
        <v>86211.44584</v>
      </c>
      <c r="T31" s="69">
        <f>713.7*127.5727-T25</f>
        <v>86749.436000000016</v>
      </c>
      <c r="U31" s="70">
        <f>706.4*128.2704-U25</f>
        <v>86672.309279999987</v>
      </c>
      <c r="V31" s="70">
        <f>707.4*129.1064-V25</f>
        <v>87818.173280000003</v>
      </c>
      <c r="W31" s="70">
        <f>705.7*129.0391-W25</f>
        <v>87423.990250000003</v>
      </c>
      <c r="X31" s="70">
        <f>703.3*128.4404-X25</f>
        <v>86684.425960000008</v>
      </c>
      <c r="Y31" s="70">
        <f>691.9*128.2591-Y25</f>
        <v>85292.301499999987</v>
      </c>
      <c r="Z31" s="70">
        <f>689.8*128.1053-Z25</f>
        <v>85023.487609999982</v>
      </c>
      <c r="AA31" s="70">
        <f>681.4*128.6672-AA25</f>
        <v>84313.042816000001</v>
      </c>
      <c r="AB31" s="70">
        <f>687.4*129.4011-AB25</f>
        <v>85570.359408000004</v>
      </c>
      <c r="AC31" s="70">
        <f>698.3*130.1443-AC25</f>
        <v>87548.070609999981</v>
      </c>
      <c r="AD31" s="70">
        <f>703.3*128.6228-AD25</f>
        <v>87206.106599999999</v>
      </c>
      <c r="AE31" s="70">
        <f>687.36*128.2195-AE25</f>
        <v>84905.670704999997</v>
      </c>
      <c r="AF31" s="70">
        <f>703.3*129.6466-AF25</f>
        <v>87913.359459999992</v>
      </c>
      <c r="AG31" s="70">
        <f>691.8*129.91-AG25</f>
        <v>86598.005999999994</v>
      </c>
      <c r="AH31" s="70">
        <f>689.5*127.2868-AH25</f>
        <v>84429.334440000006</v>
      </c>
      <c r="AI31" s="70">
        <f>692.3*126.0787-AI25</f>
        <v>83375.844309999986</v>
      </c>
      <c r="AJ31" s="70">
        <f>687.9*125.0004-AJ25</f>
        <v>82187.762999999992</v>
      </c>
      <c r="AK31" s="70">
        <f>694.2*125.3866-AK25</f>
        <v>83595.246220000001</v>
      </c>
      <c r="AL31" s="70">
        <f>691.5*128.154-AL25</f>
        <v>84940.4712</v>
      </c>
      <c r="AM31" s="70">
        <f>685.6*125.985-AM25</f>
        <v>82809.940500000012</v>
      </c>
      <c r="AN31" s="70">
        <v>83363.600000000006</v>
      </c>
      <c r="AO31" s="71">
        <v>85247.016250000001</v>
      </c>
      <c r="AP31" s="5">
        <v>88601.228099999993</v>
      </c>
      <c r="AQ31" s="11">
        <v>87970.42</v>
      </c>
      <c r="AR31" s="11">
        <v>93026.282339999976</v>
      </c>
      <c r="AS31" s="72">
        <v>91600.811720000012</v>
      </c>
      <c r="AT31" s="5">
        <v>88177.52</v>
      </c>
      <c r="AU31" s="5">
        <v>88662.3</v>
      </c>
      <c r="AV31" s="1">
        <v>89273.62</v>
      </c>
      <c r="AW31" s="1">
        <v>93450.34</v>
      </c>
      <c r="AX31" s="72">
        <v>87820.2</v>
      </c>
      <c r="AY31" s="72">
        <v>85339.66</v>
      </c>
      <c r="AZ31" s="6">
        <v>92920.51</v>
      </c>
      <c r="BA31" s="6">
        <v>91194.76</v>
      </c>
      <c r="BB31" s="6">
        <v>92193.37</v>
      </c>
      <c r="BC31" s="6">
        <v>91132.81</v>
      </c>
      <c r="BD31" s="6">
        <v>90866.32</v>
      </c>
      <c r="BE31" s="71">
        <v>103545.39</v>
      </c>
      <c r="BF31" s="71">
        <v>107192.95</v>
      </c>
      <c r="BG31" s="71">
        <v>107836.52</v>
      </c>
      <c r="BH31" s="73">
        <v>101163.4</v>
      </c>
      <c r="BI31" s="73">
        <v>102818.48</v>
      </c>
      <c r="BJ31" s="73">
        <v>100884.96</v>
      </c>
      <c r="BK31" s="73">
        <v>98040.54</v>
      </c>
      <c r="BL31" s="73">
        <v>105198.16</v>
      </c>
      <c r="BM31" s="73">
        <v>105518.91211120001</v>
      </c>
      <c r="BN31" s="73">
        <v>102810.15</v>
      </c>
      <c r="BO31" s="73">
        <v>102873.59</v>
      </c>
      <c r="BP31" s="73">
        <v>103934.38</v>
      </c>
      <c r="BQ31" s="73">
        <v>98720.2</v>
      </c>
      <c r="BR31" s="73">
        <v>102466.3</v>
      </c>
      <c r="BS31" s="73">
        <v>103877.34</v>
      </c>
      <c r="BT31" s="73">
        <v>102711.78</v>
      </c>
      <c r="BU31" s="73">
        <v>102810.99</v>
      </c>
      <c r="BV31" s="73">
        <v>104048.85</v>
      </c>
      <c r="BW31" s="73">
        <v>98951.172377999988</v>
      </c>
      <c r="BX31" s="73">
        <v>104455.58</v>
      </c>
      <c r="BY31" s="73">
        <v>101163.85</v>
      </c>
      <c r="BZ31" s="73">
        <v>105067.93</v>
      </c>
      <c r="CA31" s="73">
        <v>104192.24</v>
      </c>
      <c r="CB31" s="73">
        <v>102377.015</v>
      </c>
      <c r="CC31" s="73">
        <v>98476.85407999999</v>
      </c>
      <c r="CD31" s="73">
        <v>103964.44573000001</v>
      </c>
      <c r="CE31" s="73">
        <v>104139.94</v>
      </c>
      <c r="CF31" s="73">
        <v>108949.17949999998</v>
      </c>
      <c r="CG31" s="73">
        <v>107726.69950999999</v>
      </c>
      <c r="CH31" s="73">
        <v>108266.94</v>
      </c>
      <c r="CI31" s="73">
        <v>106062.13497000001</v>
      </c>
      <c r="CJ31" s="74">
        <v>106186.03</v>
      </c>
      <c r="CK31" s="74">
        <v>105946.27</v>
      </c>
      <c r="CL31" s="74">
        <v>107172.72412</v>
      </c>
      <c r="CM31" s="74">
        <v>103234.729488</v>
      </c>
      <c r="CN31" s="74">
        <v>109808.36</v>
      </c>
      <c r="CO31" s="74">
        <v>109420.29</v>
      </c>
      <c r="CP31" s="74">
        <v>110320.82</v>
      </c>
      <c r="CQ31" s="74">
        <v>110751.15788</v>
      </c>
      <c r="CR31" s="74">
        <v>108802.4</v>
      </c>
      <c r="CS31" s="74">
        <v>110976.09448999999</v>
      </c>
      <c r="CT31" s="74">
        <v>110286.71</v>
      </c>
      <c r="CU31" s="74">
        <v>107671.83</v>
      </c>
      <c r="CV31" s="74">
        <v>110753.02224000001</v>
      </c>
      <c r="CW31" s="74">
        <v>112332.6</v>
      </c>
      <c r="CX31" s="74">
        <v>115443.28</v>
      </c>
      <c r="CY31" s="74">
        <v>110964.58694657251</v>
      </c>
      <c r="CZ31" s="74">
        <v>110950.81182506018</v>
      </c>
      <c r="DA31" s="74">
        <v>110083.02936951601</v>
      </c>
      <c r="DB31" s="74">
        <v>110467.750722</v>
      </c>
      <c r="DC31" s="74">
        <v>109953.029241</v>
      </c>
      <c r="DD31" s="74">
        <v>109661.497088</v>
      </c>
      <c r="DE31" s="74">
        <v>105461.573294</v>
      </c>
      <c r="DF31" s="74">
        <v>105353.71861299999</v>
      </c>
      <c r="DG31" s="74">
        <v>103084.159464</v>
      </c>
      <c r="DH31" s="74">
        <v>104428.508328</v>
      </c>
      <c r="DI31" s="74">
        <v>106146.34656300001</v>
      </c>
      <c r="DJ31" s="74">
        <v>106394.017336</v>
      </c>
      <c r="DK31" s="74">
        <v>96505.109670000005</v>
      </c>
      <c r="DL31" s="74">
        <v>96929.894160000011</v>
      </c>
      <c r="DM31" s="74">
        <v>94573.457471999995</v>
      </c>
      <c r="DN31" s="74">
        <v>94598.930205000011</v>
      </c>
      <c r="DO31" s="74">
        <v>93209.428312000004</v>
      </c>
      <c r="DP31" s="74">
        <v>92488.721669999984</v>
      </c>
      <c r="DQ31" s="74">
        <v>89806.787909999999</v>
      </c>
      <c r="DR31" s="74">
        <v>89677.062325999999</v>
      </c>
      <c r="DS31" s="74">
        <v>87915.695453999986</v>
      </c>
      <c r="DT31" s="74">
        <v>88533.74656</v>
      </c>
      <c r="DU31" s="74">
        <v>88812.998460000003</v>
      </c>
      <c r="DV31" s="74">
        <v>88802.836384000009</v>
      </c>
      <c r="DW31" s="74">
        <v>86971.098832000003</v>
      </c>
      <c r="DX31" s="74">
        <v>86896.570291999989</v>
      </c>
      <c r="DY31" s="74">
        <v>84585.909274999998</v>
      </c>
      <c r="DZ31" s="74">
        <v>84623.346985600001</v>
      </c>
      <c r="EA31" s="74">
        <v>84350.20229999999</v>
      </c>
      <c r="EB31" s="74">
        <v>83454.304380000001</v>
      </c>
    </row>
    <row r="32" spans="1:132" x14ac:dyDescent="0.35">
      <c r="A32" s="49" t="s">
        <v>86</v>
      </c>
      <c r="B32" s="66" t="s">
        <v>38</v>
      </c>
      <c r="C32" s="51" t="s">
        <v>62</v>
      </c>
      <c r="D32" s="67">
        <f>3323.9*115.6521-D26</f>
        <v>364755.15818999999</v>
      </c>
      <c r="E32" s="68">
        <f>3313.7*116.1223-E26</f>
        <v>366063.93851999997</v>
      </c>
      <c r="F32" s="68">
        <f>3347.9*116.9832-F26</f>
        <v>375820.22831999999</v>
      </c>
      <c r="G32" s="68">
        <f>3331.1*117.4218-G26</f>
        <v>376736.10311999999</v>
      </c>
      <c r="H32" s="68">
        <f>3452.9*117.8553-H26</f>
        <v>384927.19533000002</v>
      </c>
      <c r="I32" s="68">
        <f>3486.3*119.0553-I26</f>
        <v>394656.41397000005</v>
      </c>
      <c r="J32" s="68">
        <f>3462.6*119.8343-J26</f>
        <v>396927.15188999998</v>
      </c>
      <c r="K32" s="68">
        <f>3444.5*119.932-K26</f>
        <v>395847.55920000002</v>
      </c>
      <c r="L32" s="68">
        <f>3529.5*120.415-L26</f>
        <v>405509.554</v>
      </c>
      <c r="M32" s="68">
        <f>3526.7*121.3417-M26</f>
        <v>409952.93345000001</v>
      </c>
      <c r="N32" s="68">
        <f>3512.3*121.8522-N26</f>
        <v>408643.53792000003</v>
      </c>
      <c r="O32" s="68">
        <f>3530.9*122.0421-O26</f>
        <v>430259.42355000007</v>
      </c>
      <c r="P32" s="69">
        <f>3514.7*123.1541-P26</f>
        <v>431556.59722</v>
      </c>
      <c r="Q32" s="69">
        <f>3507.4*125.4111-Q26</f>
        <v>438336.87672</v>
      </c>
      <c r="R32" s="69">
        <f>3555.7*126.3835-R26</f>
        <v>447852.57059999998</v>
      </c>
      <c r="S32" s="69">
        <f>3547.4*126.5582-S26</f>
        <v>447547.76266000001</v>
      </c>
      <c r="T32" s="69">
        <f>3667.8*127.5727-T26</f>
        <v>466495.09209000005</v>
      </c>
      <c r="U32" s="70">
        <f>3699.9*128.2704-U26</f>
        <v>472727.73215999996</v>
      </c>
      <c r="V32" s="70">
        <f>3666.3*129.1064-V26</f>
        <v>472051.73032000003</v>
      </c>
      <c r="W32" s="70">
        <f>3646.3*129.0391-W26</f>
        <v>469186.16759999999</v>
      </c>
      <c r="X32" s="70">
        <f>3703.8*128.4404-X26</f>
        <v>474407.4614400001</v>
      </c>
      <c r="Y32" s="70">
        <f>3710.2*128.2591-Y26</f>
        <v>474558.66999999993</v>
      </c>
      <c r="Z32" s="70">
        <f>3670*128.1053-Z26</f>
        <v>469249.71389999997</v>
      </c>
      <c r="AA32" s="70">
        <f>3671.87*128.6672-AA26</f>
        <v>471899.82272</v>
      </c>
      <c r="AB32" s="70">
        <f>3113*129.4011-AB26</f>
        <v>402424.48089000001</v>
      </c>
      <c r="AC32" s="70">
        <f>3120.7*130.1443-AC26</f>
        <v>405698.82638999994</v>
      </c>
      <c r="AD32" s="83">
        <f>3106.7*128.6228-AD26</f>
        <v>399152.56278400001</v>
      </c>
      <c r="AE32" s="83">
        <f>3183.36*128.2195-AE26</f>
        <v>407730.31683000003</v>
      </c>
      <c r="AF32" s="83">
        <f>3158.2*129.6466-AF26</f>
        <v>407219.9706</v>
      </c>
      <c r="AG32" s="83">
        <f>3152*129.91-AG26</f>
        <v>407436.73300000001</v>
      </c>
      <c r="AH32" s="83">
        <f>3141.6*127.2868-AH26</f>
        <v>397885.80811999994</v>
      </c>
      <c r="AI32" s="83">
        <f>3132*126.0787-AI26</f>
        <v>392886.44493999996</v>
      </c>
      <c r="AJ32" s="83">
        <f>3121.2*125.0004-AJ26</f>
        <v>388176.24215999997</v>
      </c>
      <c r="AK32" s="83">
        <f>3127.5*125.3866-AK26</f>
        <v>389613.78217999998</v>
      </c>
      <c r="AL32" s="70">
        <f>3104.1*128.154-AL26</f>
        <v>396111.19859999995</v>
      </c>
      <c r="AM32" s="83">
        <f>3114.8*125.985-AM26</f>
        <v>390855.86400000006</v>
      </c>
      <c r="AN32" s="83">
        <v>388294.9</v>
      </c>
      <c r="AO32" s="71">
        <v>400769.69349999999</v>
      </c>
      <c r="AP32" s="5">
        <v>400739.07511000003</v>
      </c>
      <c r="AQ32" s="11">
        <v>423449.93</v>
      </c>
      <c r="AR32" s="11">
        <v>427400.95295999991</v>
      </c>
      <c r="AS32" s="71">
        <v>418767.79230000003</v>
      </c>
      <c r="AT32" s="5">
        <v>397461.12</v>
      </c>
      <c r="AU32" s="5">
        <v>393676.96</v>
      </c>
      <c r="AV32" s="71">
        <v>398060.74</v>
      </c>
      <c r="AW32" s="71">
        <v>423679.3</v>
      </c>
      <c r="AX32" s="72">
        <v>398926.3</v>
      </c>
      <c r="AY32" s="72">
        <v>391199.13</v>
      </c>
      <c r="AZ32" s="6">
        <v>415638.78</v>
      </c>
      <c r="BA32" s="6">
        <v>409340.42</v>
      </c>
      <c r="BB32" s="6">
        <v>402654.62</v>
      </c>
      <c r="BC32" s="6">
        <v>419429.54</v>
      </c>
      <c r="BD32" s="6">
        <v>419923.83</v>
      </c>
      <c r="BE32" s="5">
        <v>409964.58</v>
      </c>
      <c r="BF32" s="5">
        <v>423422.98</v>
      </c>
      <c r="BG32" s="5">
        <v>407951.12</v>
      </c>
      <c r="BH32" s="20">
        <v>403589.09</v>
      </c>
      <c r="BI32" s="20">
        <v>427808.04</v>
      </c>
      <c r="BJ32" s="20">
        <v>413458.46</v>
      </c>
      <c r="BK32" s="20">
        <v>413350.82</v>
      </c>
      <c r="BL32" s="20">
        <v>437389.32</v>
      </c>
      <c r="BM32" s="20">
        <v>438401.35784200003</v>
      </c>
      <c r="BN32" s="20">
        <v>425367.72</v>
      </c>
      <c r="BO32" s="20">
        <v>448645.75</v>
      </c>
      <c r="BP32" s="20">
        <v>448342.02191999991</v>
      </c>
      <c r="BQ32" s="20">
        <v>426854.40000000002</v>
      </c>
      <c r="BR32" s="20">
        <v>434766.67</v>
      </c>
      <c r="BS32" s="20">
        <v>451999.26</v>
      </c>
      <c r="BT32" s="20">
        <v>436549.65</v>
      </c>
      <c r="BU32" s="20">
        <v>455290.01</v>
      </c>
      <c r="BV32" s="20">
        <v>459437.68</v>
      </c>
      <c r="BW32" s="20">
        <v>467226.42793699994</v>
      </c>
      <c r="BX32" s="20">
        <v>498428.08</v>
      </c>
      <c r="BY32" s="20">
        <v>479993.22</v>
      </c>
      <c r="BZ32" s="73">
        <v>474099.99</v>
      </c>
      <c r="CA32" s="73">
        <v>490971.17</v>
      </c>
      <c r="CB32" s="73">
        <v>479979.424</v>
      </c>
      <c r="CC32" s="73">
        <v>464142.85201999999</v>
      </c>
      <c r="CD32" s="73">
        <v>487476.35079</v>
      </c>
      <c r="CE32" s="73">
        <v>487218.9</v>
      </c>
      <c r="CF32" s="73">
        <v>481563.12777999992</v>
      </c>
      <c r="CG32" s="73">
        <v>483725.70610999997</v>
      </c>
      <c r="CH32" s="73">
        <v>498964.04</v>
      </c>
      <c r="CI32" s="73">
        <v>507028.36771000002</v>
      </c>
      <c r="CJ32" s="74">
        <v>508146.26295200002</v>
      </c>
      <c r="CK32" s="74">
        <v>506846.44</v>
      </c>
      <c r="CL32" s="74">
        <v>492677.16849999997</v>
      </c>
      <c r="CM32" s="74">
        <v>496698.06357600004</v>
      </c>
      <c r="CN32" s="74">
        <v>486295.25</v>
      </c>
      <c r="CO32" s="74">
        <v>487729.55</v>
      </c>
      <c r="CP32" s="74">
        <v>490620.17</v>
      </c>
      <c r="CQ32" s="74">
        <v>490820.16948799998</v>
      </c>
      <c r="CR32" s="74">
        <v>480647.33</v>
      </c>
      <c r="CS32" s="74">
        <v>484618.52266000002</v>
      </c>
      <c r="CT32" s="74">
        <v>479019.37</v>
      </c>
      <c r="CU32" s="74">
        <v>470395.51</v>
      </c>
      <c r="CV32" s="74">
        <v>475768.85907600005</v>
      </c>
      <c r="CW32" s="74">
        <v>479978.87</v>
      </c>
      <c r="CX32" s="74">
        <v>473202.72</v>
      </c>
      <c r="CY32" s="74">
        <v>473489.35557700001</v>
      </c>
      <c r="CZ32" s="74">
        <v>555275.53776968957</v>
      </c>
      <c r="DA32" s="74">
        <v>549879.84746037005</v>
      </c>
      <c r="DB32" s="74">
        <v>548400.89053199999</v>
      </c>
      <c r="DC32" s="74">
        <v>534368.83559400006</v>
      </c>
      <c r="DD32" s="74">
        <v>533873.85567999992</v>
      </c>
      <c r="DE32" s="74">
        <v>535838.89328199998</v>
      </c>
      <c r="DF32" s="74">
        <v>523499.75716999994</v>
      </c>
      <c r="DG32" s="74">
        <v>553812.05107799987</v>
      </c>
      <c r="DH32" s="74">
        <v>560834.41344799998</v>
      </c>
      <c r="DI32" s="74">
        <v>505124.224713</v>
      </c>
      <c r="DJ32" s="74">
        <v>502678.59709699999</v>
      </c>
      <c r="DK32" s="74">
        <v>503799.77227500005</v>
      </c>
      <c r="DL32" s="74">
        <v>504798.42330000002</v>
      </c>
      <c r="DM32" s="74">
        <v>544868.61626400007</v>
      </c>
      <c r="DN32" s="74">
        <v>541826.13438200008</v>
      </c>
      <c r="DO32" s="74">
        <v>532826.36907500005</v>
      </c>
      <c r="DP32" s="74">
        <v>526489.66276400001</v>
      </c>
      <c r="DQ32" s="74">
        <v>526969.97765999998</v>
      </c>
      <c r="DR32" s="74">
        <v>523546.76679399994</v>
      </c>
      <c r="DS32" s="74">
        <v>551427.99276599998</v>
      </c>
      <c r="DT32" s="74">
        <v>555774.10221199994</v>
      </c>
      <c r="DU32" s="74">
        <v>556959.09927600005</v>
      </c>
      <c r="DV32" s="74">
        <v>556162.72207600006</v>
      </c>
      <c r="DW32" s="74">
        <v>553795.76025400008</v>
      </c>
      <c r="DX32" s="74">
        <v>552130.38816600002</v>
      </c>
      <c r="DY32" s="74">
        <v>552038.93741000001</v>
      </c>
      <c r="DZ32" s="74">
        <v>548499.82802400005</v>
      </c>
      <c r="EA32" s="74">
        <v>546445.83898799994</v>
      </c>
      <c r="EB32" s="74">
        <v>546738.78925499995</v>
      </c>
    </row>
    <row r="33" spans="1:132" x14ac:dyDescent="0.35">
      <c r="A33" s="49" t="s">
        <v>87</v>
      </c>
      <c r="B33" s="66" t="s">
        <v>39</v>
      </c>
      <c r="C33" s="51" t="s">
        <v>63</v>
      </c>
      <c r="D33" s="67">
        <f>317.5*115.6521-D27</f>
        <v>30347.111040000003</v>
      </c>
      <c r="E33" s="68">
        <f>309.3*116.1223-E27</f>
        <v>29576.34981</v>
      </c>
      <c r="F33" s="68">
        <f>305.6*116.9832-F27</f>
        <v>29924.30256</v>
      </c>
      <c r="G33" s="68">
        <f>328.5*117.4218-G27</f>
        <v>32725.45566</v>
      </c>
      <c r="H33" s="68">
        <f>330.8*117.8553-H27</f>
        <v>29982.388320000005</v>
      </c>
      <c r="I33" s="68">
        <f>327.1*119.0553-I27</f>
        <v>30061.463250000008</v>
      </c>
      <c r="J33" s="68">
        <f>307*119.8343-J27</f>
        <v>30066.425870000003</v>
      </c>
      <c r="K33" s="68">
        <f>289.9*119.932-K27</f>
        <v>29263.407999999996</v>
      </c>
      <c r="L33" s="68">
        <f>290.3*120.415-L27</f>
        <v>26864.586500000005</v>
      </c>
      <c r="M33" s="68">
        <f>281.1*121.3417-M27</f>
        <v>25954.98963</v>
      </c>
      <c r="N33" s="68">
        <f>280.7*121.8522-N27</f>
        <v>26100.741239999996</v>
      </c>
      <c r="O33" s="68">
        <f>285.5*122.0421-O27</f>
        <v>34574.526930000007</v>
      </c>
      <c r="P33" s="69">
        <f>275.2*123.1541-P27</f>
        <v>33892.008320000001</v>
      </c>
      <c r="Q33" s="69">
        <f>260.6*125.4111-Q27</f>
        <v>32682.132660000003</v>
      </c>
      <c r="R33" s="69">
        <f>255.4*126.3835-R27</f>
        <v>32088.770649999999</v>
      </c>
      <c r="S33" s="69">
        <f>243.1*126.5582-S27</f>
        <v>30576.46112</v>
      </c>
      <c r="T33" s="69">
        <f>244.6*127.5727-T27</f>
        <v>31000.166099999999</v>
      </c>
      <c r="U33" s="70">
        <f>249.2*128.2704-U27</f>
        <v>31759.751039999999</v>
      </c>
      <c r="V33" s="70">
        <f>239.1*129.1064-V27</f>
        <v>29332.97408</v>
      </c>
      <c r="W33" s="70">
        <f>228.4*129.0391-W27</f>
        <v>27949.869059999997</v>
      </c>
      <c r="X33" s="70">
        <f>216.7*128.4404-X27</f>
        <v>25855.052520000001</v>
      </c>
      <c r="Y33" s="70">
        <f>219.8*128.2591-Y27</f>
        <v>26177.682309999997</v>
      </c>
      <c r="Z33" s="70">
        <f>217.91*128.1053-Z27</f>
        <v>25928.512719999999</v>
      </c>
      <c r="AA33" s="70">
        <f>210.481*128.6672-AA27</f>
        <v>25018.179035200003</v>
      </c>
      <c r="AB33" s="70">
        <f>204.1*129.4011-AB27</f>
        <v>24974.4123</v>
      </c>
      <c r="AC33" s="70">
        <f>196.5*130.1443-AC27</f>
        <v>24089.709929999997</v>
      </c>
      <c r="AD33" s="70">
        <f>180.2*128.6228-AD27</f>
        <v>21582.905840000003</v>
      </c>
      <c r="AE33" s="70">
        <f>176.4*128.2195-AE27</f>
        <v>21001.071905000004</v>
      </c>
      <c r="AF33" s="70">
        <f>176.7*129.6466-AF27</f>
        <v>21275.007059999996</v>
      </c>
      <c r="AG33" s="70">
        <f>171.9*129.91-AG27</f>
        <v>20824.573</v>
      </c>
      <c r="AH33" s="70">
        <f>158*127.2868-AH27</f>
        <v>19474.880399999998</v>
      </c>
      <c r="AI33" s="70">
        <f>148.4*126.0787-AI27</f>
        <v>18079.685580000001</v>
      </c>
      <c r="AJ33" s="70">
        <f>142.9*125.0004-AJ27</f>
        <v>16912.554120000001</v>
      </c>
      <c r="AK33" s="70">
        <f>140.1*125.3866-AK27</f>
        <v>16576.108519999998</v>
      </c>
      <c r="AL33" s="70">
        <f>139.1*128.154-AL27</f>
        <v>16826.617859999998</v>
      </c>
      <c r="AM33" s="70">
        <f>140.2*125.985-AM27</f>
        <v>16806.398999999998</v>
      </c>
      <c r="AN33" s="70">
        <v>14888.15</v>
      </c>
      <c r="AO33" s="71">
        <v>13506.504000000001</v>
      </c>
      <c r="AP33" s="5">
        <v>13506.504000000001</v>
      </c>
      <c r="AQ33" s="11">
        <v>7720.27</v>
      </c>
      <c r="AR33" s="11">
        <v>7881.718139999999</v>
      </c>
      <c r="AS33" s="71">
        <v>7820.2403400000003</v>
      </c>
      <c r="AT33" s="5">
        <v>7188.45</v>
      </c>
      <c r="AU33" s="5">
        <v>5750.6534999999994</v>
      </c>
      <c r="AV33" s="71">
        <v>5913.26</v>
      </c>
      <c r="AW33" s="71">
        <v>5267.07</v>
      </c>
      <c r="AX33" s="72">
        <v>5049.21</v>
      </c>
      <c r="AY33" s="72">
        <v>4843.67</v>
      </c>
      <c r="AZ33" s="6">
        <v>5155.5</v>
      </c>
      <c r="BA33" s="6">
        <v>794.27</v>
      </c>
      <c r="BB33" s="6">
        <v>786.41</v>
      </c>
      <c r="BC33" s="6">
        <v>0</v>
      </c>
      <c r="BD33" s="6">
        <v>0</v>
      </c>
      <c r="BE33" s="71">
        <v>0</v>
      </c>
      <c r="BF33" s="71">
        <v>0</v>
      </c>
      <c r="BG33" s="71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</v>
      </c>
      <c r="BZ33" s="73">
        <v>0</v>
      </c>
      <c r="CA33" s="73">
        <v>0</v>
      </c>
      <c r="CB33" s="73">
        <v>0</v>
      </c>
      <c r="CC33" s="73">
        <v>0</v>
      </c>
      <c r="CD33" s="73">
        <v>0</v>
      </c>
      <c r="CE33" s="73">
        <v>0</v>
      </c>
      <c r="CF33" s="73">
        <v>0</v>
      </c>
      <c r="CG33" s="73">
        <v>0</v>
      </c>
      <c r="CH33" s="73">
        <v>0</v>
      </c>
      <c r="CI33" s="73">
        <v>0</v>
      </c>
      <c r="CJ33" s="74">
        <v>0</v>
      </c>
      <c r="CK33" s="74">
        <v>0</v>
      </c>
      <c r="CL33" s="74">
        <v>0</v>
      </c>
      <c r="CM33" s="74">
        <v>0</v>
      </c>
      <c r="CN33" s="74">
        <v>0</v>
      </c>
      <c r="CO33" s="74">
        <v>0</v>
      </c>
      <c r="CP33" s="74">
        <v>0</v>
      </c>
      <c r="CQ33" s="74">
        <v>0</v>
      </c>
      <c r="CR33" s="74">
        <v>0</v>
      </c>
      <c r="CS33" s="74">
        <v>0</v>
      </c>
      <c r="CT33" s="74">
        <v>0</v>
      </c>
      <c r="CU33" s="74">
        <v>0</v>
      </c>
      <c r="CV33" s="74">
        <v>0</v>
      </c>
      <c r="CW33" s="74">
        <v>0</v>
      </c>
      <c r="CX33" s="74">
        <v>0</v>
      </c>
      <c r="CY33" s="74">
        <v>0</v>
      </c>
      <c r="CZ33" s="74">
        <v>0</v>
      </c>
      <c r="DA33" s="74">
        <v>0</v>
      </c>
      <c r="DB33" s="74">
        <v>0</v>
      </c>
      <c r="DC33" s="74">
        <v>0</v>
      </c>
      <c r="DD33" s="74">
        <v>0</v>
      </c>
      <c r="DE33" s="74">
        <v>0</v>
      </c>
      <c r="DF33" s="74">
        <v>0</v>
      </c>
      <c r="DG33" s="74">
        <v>0</v>
      </c>
      <c r="DH33" s="74">
        <v>0</v>
      </c>
      <c r="DI33" s="74">
        <v>0</v>
      </c>
      <c r="DJ33" s="74">
        <v>0</v>
      </c>
      <c r="DK33" s="74">
        <v>0</v>
      </c>
      <c r="DL33" s="74">
        <v>0</v>
      </c>
      <c r="DM33" s="74">
        <v>0</v>
      </c>
      <c r="DN33" s="74">
        <v>0</v>
      </c>
      <c r="DO33" s="74">
        <v>0</v>
      </c>
      <c r="DP33" s="74">
        <v>0</v>
      </c>
      <c r="DQ33" s="74">
        <v>0</v>
      </c>
      <c r="DR33" s="74">
        <v>0</v>
      </c>
      <c r="DS33" s="74">
        <v>0</v>
      </c>
      <c r="DT33" s="74">
        <v>0</v>
      </c>
      <c r="DU33" s="74">
        <v>0</v>
      </c>
      <c r="DV33" s="74">
        <v>0</v>
      </c>
      <c r="DW33" s="74">
        <v>0</v>
      </c>
      <c r="DX33" s="74">
        <v>0</v>
      </c>
      <c r="DY33" s="74">
        <v>0</v>
      </c>
      <c r="DZ33" s="74">
        <v>0</v>
      </c>
      <c r="EA33" s="74">
        <v>0</v>
      </c>
      <c r="EB33" s="74">
        <v>0</v>
      </c>
    </row>
    <row r="34" spans="1:132" x14ac:dyDescent="0.35">
      <c r="A34" s="49" t="s">
        <v>88</v>
      </c>
      <c r="B34" s="66" t="s">
        <v>40</v>
      </c>
      <c r="C34" s="51" t="s">
        <v>64</v>
      </c>
      <c r="D34" s="67">
        <f>12.7*115.6521-D28</f>
        <v>1306.8687300000001</v>
      </c>
      <c r="E34" s="68">
        <f>12.7*116.1223-E28</f>
        <v>1312.1819899999998</v>
      </c>
      <c r="F34" s="68">
        <f>12.7*116.9832-F28</f>
        <v>1415.4967199999999</v>
      </c>
      <c r="G34" s="68">
        <f>12.7*117.4218-G28</f>
        <v>1420.80378</v>
      </c>
      <c r="H34" s="68">
        <f>12.3*117.8553-H28</f>
        <v>1225.6951200000001</v>
      </c>
      <c r="I34" s="68">
        <f>11.5*119.0553-I28</f>
        <v>1178.6474700000001</v>
      </c>
      <c r="J34" s="68">
        <f>11.5*119.8343-J28</f>
        <v>1186.3595700000001</v>
      </c>
      <c r="K34" s="68">
        <f>11.5*119.932-K28</f>
        <v>1187.3268</v>
      </c>
      <c r="L34" s="68">
        <f>11.5*120.415-L28</f>
        <v>1192.1085</v>
      </c>
      <c r="M34" s="68">
        <f>11.5*121.3417-M28</f>
        <v>1201.2828300000001</v>
      </c>
      <c r="N34" s="68">
        <f>11.5*121.8522-N28</f>
        <v>1279.4480999999998</v>
      </c>
      <c r="O34" s="68">
        <f>10.4*122.0421-O28</f>
        <v>1269.23784</v>
      </c>
      <c r="P34" s="69">
        <f>10.4*123.1541-P28</f>
        <v>1280.8026400000001</v>
      </c>
      <c r="Q34" s="69">
        <f>10.4*125.4111-Q28</f>
        <v>1304.2754400000001</v>
      </c>
      <c r="R34" s="69">
        <f>10.4*126.3835-R28</f>
        <v>1314.3884</v>
      </c>
      <c r="S34" s="69">
        <f>10.5*126.5582-S28</f>
        <v>1328.8611000000001</v>
      </c>
      <c r="T34" s="69">
        <f>10.4*127.5727-T28</f>
        <v>1326.7560800000001</v>
      </c>
      <c r="U34" s="70">
        <f>9.9*128.2704-U28</f>
        <v>1269.8769600000001</v>
      </c>
      <c r="V34" s="70">
        <f>9.9*129.1064-V28</f>
        <v>1278.15336</v>
      </c>
      <c r="W34" s="70">
        <f>9.9*129.0391-W28</f>
        <v>1277.4870899999999</v>
      </c>
      <c r="X34" s="70">
        <f>9.9*128.4404-X28</f>
        <v>1271.55996</v>
      </c>
      <c r="Y34" s="70">
        <f>9.9*128.2591-Y28</f>
        <v>1269.7650899999999</v>
      </c>
      <c r="Z34" s="70">
        <f>9.9*128.1053-Z28</f>
        <v>1268.2424700000001</v>
      </c>
      <c r="AA34" s="70">
        <f>9.92*128.6672-AA28</f>
        <v>1276.3786240000002</v>
      </c>
      <c r="AB34" s="70">
        <f>9.9*129.4011-AB28</f>
        <v>1281.0708900000002</v>
      </c>
      <c r="AC34" s="70">
        <f>9.9*130.1443-AC28</f>
        <v>1288.4285699999998</v>
      </c>
      <c r="AD34" s="83">
        <f>9.9*128.6228-AD29</f>
        <v>1273.3657200000002</v>
      </c>
      <c r="AE34" s="83">
        <f>9.93*128.2195-AE29</f>
        <v>1273.2196350000002</v>
      </c>
      <c r="AF34" s="83">
        <f>9.9*129.6466-AF29</f>
        <v>1283.50134</v>
      </c>
      <c r="AG34" s="83">
        <f>8.9*129.91-AG29</f>
        <v>1156.1990000000001</v>
      </c>
      <c r="AH34" s="83">
        <f>8.9*127.2868-AH29</f>
        <v>1132.8525200000001</v>
      </c>
      <c r="AI34" s="83">
        <f>8.9*126.0787-AI29</f>
        <v>1122.10043</v>
      </c>
      <c r="AJ34" s="83">
        <f>8.9*125.0004-AJ29</f>
        <v>1112.5035600000001</v>
      </c>
      <c r="AK34" s="83">
        <f>8.9*125.3866-AK29</f>
        <v>1115.94074</v>
      </c>
      <c r="AL34" s="70">
        <f>8.9*128.154-AL29</f>
        <v>1140.5706</v>
      </c>
      <c r="AM34" s="83">
        <f>8.3*125.985-AM28</f>
        <v>1045.6755000000001</v>
      </c>
      <c r="AN34" s="83">
        <v>1052.7</v>
      </c>
      <c r="AO34" s="71">
        <v>1074.3810000000001</v>
      </c>
      <c r="AP34" s="5">
        <v>1074.3810000000001</v>
      </c>
      <c r="AQ34" s="11">
        <v>0</v>
      </c>
      <c r="AR34" s="11">
        <v>0</v>
      </c>
      <c r="AS34" s="77">
        <v>0</v>
      </c>
      <c r="AT34" s="71">
        <v>0</v>
      </c>
      <c r="AU34" s="71">
        <v>0</v>
      </c>
      <c r="AV34" s="71">
        <v>0</v>
      </c>
      <c r="AW34" s="71">
        <v>0</v>
      </c>
      <c r="AX34" s="72">
        <v>0</v>
      </c>
      <c r="AY34" s="72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71">
        <v>0</v>
      </c>
      <c r="BF34" s="71">
        <v>0</v>
      </c>
      <c r="BG34" s="71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>
        <v>0</v>
      </c>
      <c r="BX34" s="73">
        <v>0</v>
      </c>
      <c r="BY34" s="73">
        <v>0</v>
      </c>
      <c r="BZ34" s="73">
        <v>0</v>
      </c>
      <c r="CA34" s="73">
        <v>0</v>
      </c>
      <c r="CB34" s="73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F34" s="74">
        <v>0</v>
      </c>
      <c r="DG34" s="74">
        <v>0</v>
      </c>
      <c r="DH34" s="74">
        <v>0</v>
      </c>
      <c r="DI34" s="74">
        <v>0</v>
      </c>
      <c r="DJ34" s="74">
        <v>0</v>
      </c>
      <c r="DK34" s="74">
        <v>0</v>
      </c>
      <c r="DL34" s="74">
        <v>0</v>
      </c>
      <c r="DM34" s="74">
        <v>0</v>
      </c>
      <c r="DN34" s="74">
        <v>0</v>
      </c>
      <c r="DO34" s="74">
        <v>0</v>
      </c>
      <c r="DP34" s="74">
        <v>0</v>
      </c>
      <c r="DQ34" s="74">
        <v>0</v>
      </c>
      <c r="DR34" s="74">
        <v>0</v>
      </c>
      <c r="DS34" s="74">
        <v>0</v>
      </c>
      <c r="DT34" s="74">
        <v>0</v>
      </c>
      <c r="DU34" s="74">
        <v>0</v>
      </c>
      <c r="DV34" s="74">
        <v>0</v>
      </c>
      <c r="DW34" s="74">
        <v>0</v>
      </c>
      <c r="DX34" s="74">
        <v>0</v>
      </c>
      <c r="DY34" s="74">
        <v>0</v>
      </c>
      <c r="DZ34" s="74">
        <v>0</v>
      </c>
      <c r="EA34" s="74">
        <v>0</v>
      </c>
      <c r="EB34" s="74">
        <v>0</v>
      </c>
    </row>
    <row r="35" spans="1:132" ht="15" thickBot="1" x14ac:dyDescent="0.4">
      <c r="A35" s="84" t="s">
        <v>89</v>
      </c>
      <c r="B35" s="85" t="s">
        <v>41</v>
      </c>
      <c r="C35" s="86" t="s">
        <v>65</v>
      </c>
      <c r="D35" s="87">
        <f>4107.5*115.6521-D29</f>
        <v>427623.63974999997</v>
      </c>
      <c r="E35" s="88">
        <f>4099.6*116.1223-E29</f>
        <v>429362.20425000001</v>
      </c>
      <c r="F35" s="88">
        <f>3837.5*116.9832-F29</f>
        <v>432545.38199999998</v>
      </c>
      <c r="G35" s="88">
        <f>5707.6*117.4218-G29</f>
        <v>669010.70550000004</v>
      </c>
      <c r="H35" s="88">
        <f>5707.6*117.8553-H29</f>
        <v>671480.57175000012</v>
      </c>
      <c r="I35" s="88">
        <f>5707.6*119.0553-I29</f>
        <v>678317.57175000012</v>
      </c>
      <c r="J35" s="88">
        <f>5707.6*119.8343-J29</f>
        <v>682755.92425000004</v>
      </c>
      <c r="K35" s="88">
        <f>5699.8*119.932-K29</f>
        <v>683324.56320000009</v>
      </c>
      <c r="L35" s="89">
        <f>5699.8*120.415-L29</f>
        <v>684438.86</v>
      </c>
      <c r="M35" s="89">
        <f>5686.2*121.3417-M29</f>
        <v>688055.97568000003</v>
      </c>
      <c r="N35" s="89">
        <f>5686.8*121.8522-N29</f>
        <v>691023.82619999989</v>
      </c>
      <c r="O35" s="89">
        <f>5687.6*122.0421-O29</f>
        <v>694126.64796000009</v>
      </c>
      <c r="P35" s="90">
        <f>5688.8*123.1541-P29</f>
        <v>700599.04408000002</v>
      </c>
      <c r="Q35" s="90">
        <f>5681.7*125.4111-Q29</f>
        <v>712548.24687000003</v>
      </c>
      <c r="R35" s="90">
        <f>5665*126.3835-R29</f>
        <v>715962.52749999997</v>
      </c>
      <c r="S35" s="90">
        <f>5665*126.5582-S29</f>
        <v>716952.20299999998</v>
      </c>
      <c r="T35" s="90">
        <f>5627*127.5727-T29</f>
        <v>717851.58290000004</v>
      </c>
      <c r="U35" s="91">
        <f>5627*128.2704-U29</f>
        <v>721777.54079999996</v>
      </c>
      <c r="V35" s="91">
        <f>5622.8*129.1064-V29</f>
        <v>725939.4659200001</v>
      </c>
      <c r="W35" s="91">
        <f>5610.3*129.0391-W29</f>
        <v>723948.06273000001</v>
      </c>
      <c r="X35" s="91">
        <f>5610.3*128.4404-X29</f>
        <v>710442.38452000008</v>
      </c>
      <c r="Y35" s="91">
        <f>5610.3*128.2591-Y29</f>
        <v>709529.34120000002</v>
      </c>
      <c r="Z35" s="91">
        <f>5610.3*128.1053-Z29</f>
        <v>708678.51960000012</v>
      </c>
      <c r="AA35" s="91">
        <f>5610.28*128.6672-AA29</f>
        <v>711687.87665599992</v>
      </c>
      <c r="AB35" s="91">
        <f>5610.3*129.4011-AB29</f>
        <v>715756.30443000013</v>
      </c>
      <c r="AC35" s="91">
        <f>5602.4*130.1443-AC29</f>
        <v>718839.0266199999</v>
      </c>
      <c r="AD35" s="91">
        <f>5424.4*128.6228-AD29</f>
        <v>697701.51632000005</v>
      </c>
      <c r="AE35" s="91">
        <f>5424.41*128.2195-AE29</f>
        <v>695515.137995</v>
      </c>
      <c r="AF35" s="91">
        <f>6148.5*129.6466-AF29</f>
        <v>797132.12010000006</v>
      </c>
      <c r="AG35" s="91">
        <f>6148.5*129.91-AG29</f>
        <v>798751.63500000001</v>
      </c>
      <c r="AH35" s="91">
        <f>6148.5*127.2868-AH29</f>
        <v>782622.8898</v>
      </c>
      <c r="AI35" s="91">
        <f>6147.8*126.0787-AI29</f>
        <v>775106.63185999996</v>
      </c>
      <c r="AJ35" s="91">
        <f>6141.9*125.0004-AJ29</f>
        <v>767739.95675999997</v>
      </c>
      <c r="AK35" s="91">
        <f>6141.9*125.3866-AK29</f>
        <v>770111.95853999991</v>
      </c>
      <c r="AL35" s="92">
        <f>6141.9*128.154-AL29</f>
        <v>787109.05259999994</v>
      </c>
      <c r="AM35" s="91">
        <f>6141.9*125.985-AM29</f>
        <v>761276.96099999989</v>
      </c>
      <c r="AN35" s="91">
        <v>769697.13</v>
      </c>
      <c r="AO35" s="91">
        <v>785474.83299999998</v>
      </c>
      <c r="AP35" s="10">
        <v>773974.27624000004</v>
      </c>
      <c r="AQ35" s="13">
        <v>807363.97</v>
      </c>
      <c r="AR35" s="13">
        <v>819932.52461999992</v>
      </c>
      <c r="AS35" s="91">
        <v>805106.57414000016</v>
      </c>
      <c r="AT35" s="10">
        <v>766541.34</v>
      </c>
      <c r="AU35" s="10">
        <v>761680.44568999985</v>
      </c>
      <c r="AV35" s="91">
        <v>760464.4</v>
      </c>
      <c r="AW35" s="91">
        <v>810380.23</v>
      </c>
      <c r="AX35" s="93">
        <v>766951.95</v>
      </c>
      <c r="AY35" s="93">
        <v>753020.08</v>
      </c>
      <c r="AZ35" s="18">
        <v>803597.09</v>
      </c>
      <c r="BA35" s="18">
        <v>790759.26</v>
      </c>
      <c r="BB35" s="18">
        <v>779554.33</v>
      </c>
      <c r="BC35" s="18">
        <v>812639.6</v>
      </c>
      <c r="BD35" s="18">
        <v>818981.04</v>
      </c>
      <c r="BE35" s="91">
        <v>730359.23</v>
      </c>
      <c r="BF35" s="91">
        <v>757174.55</v>
      </c>
      <c r="BG35" s="91">
        <v>733814.93</v>
      </c>
      <c r="BH35" s="94">
        <v>716270.31</v>
      </c>
      <c r="BI35" s="94">
        <v>763014.9</v>
      </c>
      <c r="BJ35" s="94">
        <v>740211.19</v>
      </c>
      <c r="BK35" s="94">
        <v>730618.85</v>
      </c>
      <c r="BL35" s="94">
        <v>771424.55</v>
      </c>
      <c r="BM35" s="94">
        <v>774315.41</v>
      </c>
      <c r="BN35" s="94">
        <v>754729.83</v>
      </c>
      <c r="BO35" s="94">
        <v>797837.05</v>
      </c>
      <c r="BP35" s="94">
        <v>804737.5</v>
      </c>
      <c r="BQ35" s="94">
        <v>766015.92</v>
      </c>
      <c r="BR35" s="94">
        <v>766015.92</v>
      </c>
      <c r="BS35" s="94">
        <v>790947.33</v>
      </c>
      <c r="BT35" s="94">
        <v>767824.12</v>
      </c>
      <c r="BU35" s="94">
        <v>805306.4</v>
      </c>
      <c r="BV35" s="94">
        <v>817834.94</v>
      </c>
      <c r="BW35" s="94">
        <v>788995.83444500004</v>
      </c>
      <c r="BX35" s="94">
        <v>830592.6</v>
      </c>
      <c r="BY35" s="94">
        <v>803916.18</v>
      </c>
      <c r="BZ35" s="94">
        <v>798532.58</v>
      </c>
      <c r="CA35" s="94">
        <v>831172.76</v>
      </c>
      <c r="CB35" s="94">
        <v>817752.24199999997</v>
      </c>
      <c r="CC35" s="94">
        <v>788742.47046999994</v>
      </c>
      <c r="CD35" s="94">
        <v>833816.95828999998</v>
      </c>
      <c r="CE35" s="94">
        <v>839261.11</v>
      </c>
      <c r="CF35" s="94">
        <v>829843.80024000001</v>
      </c>
      <c r="CG35" s="94">
        <v>807675.39324999996</v>
      </c>
      <c r="CH35" s="94">
        <v>800194.14</v>
      </c>
      <c r="CI35" s="94">
        <v>790820.31499999994</v>
      </c>
      <c r="CJ35" s="95">
        <v>796351.11699999997</v>
      </c>
      <c r="CK35" s="95">
        <v>795771.55</v>
      </c>
      <c r="CL35" s="95">
        <v>778491.30721999996</v>
      </c>
      <c r="CM35" s="95">
        <v>789192.87882600003</v>
      </c>
      <c r="CN35" s="95">
        <v>778717.32</v>
      </c>
      <c r="CO35" s="95">
        <v>784971.12</v>
      </c>
      <c r="CP35" s="95">
        <v>791727.94</v>
      </c>
      <c r="CQ35" s="95">
        <v>794696.22135199991</v>
      </c>
      <c r="CR35" s="95">
        <v>780124.59</v>
      </c>
      <c r="CS35" s="95">
        <v>790648.04020499997</v>
      </c>
      <c r="CT35" s="95">
        <v>788627.6</v>
      </c>
      <c r="CU35" s="95">
        <v>774278.25</v>
      </c>
      <c r="CV35" s="95">
        <v>786590.22493800009</v>
      </c>
      <c r="CW35" s="95">
        <v>799501.97</v>
      </c>
      <c r="CX35" s="95">
        <v>792384.17</v>
      </c>
      <c r="CY35" s="95">
        <v>778792.80695799994</v>
      </c>
      <c r="CZ35" s="95">
        <v>777745.71714350011</v>
      </c>
      <c r="DA35" s="95">
        <v>778060.25445000001</v>
      </c>
      <c r="DB35" s="95">
        <v>781040.72618999996</v>
      </c>
      <c r="DC35" s="95">
        <v>777354.61702799995</v>
      </c>
      <c r="DD35" s="95">
        <v>775557.74208</v>
      </c>
      <c r="DE35" s="95">
        <v>782498.81463599997</v>
      </c>
      <c r="DF35" s="95">
        <v>784136.50698499999</v>
      </c>
      <c r="DG35" s="95">
        <v>774378.05702399998</v>
      </c>
      <c r="DH35" s="95">
        <v>784888.22141599993</v>
      </c>
      <c r="DI35" s="95">
        <v>779486.37614100007</v>
      </c>
      <c r="DJ35" s="95">
        <v>766916.24780300003</v>
      </c>
      <c r="DK35" s="95">
        <v>757296.20976</v>
      </c>
      <c r="DL35" s="95">
        <v>759454.31762999995</v>
      </c>
      <c r="DM35" s="95">
        <v>762553.25292</v>
      </c>
      <c r="DN35" s="95">
        <v>764528.67771800002</v>
      </c>
      <c r="DO35" s="95">
        <v>755818.5094460001</v>
      </c>
      <c r="DP35" s="95">
        <v>751314.056629</v>
      </c>
      <c r="DQ35" s="95">
        <v>755914.86306000012</v>
      </c>
      <c r="DR35" s="95">
        <v>755450.34724599996</v>
      </c>
      <c r="DS35" s="95">
        <v>735503.36059200007</v>
      </c>
      <c r="DT35" s="95">
        <v>740404.91593599995</v>
      </c>
      <c r="DU35" s="95">
        <v>743162.96030400007</v>
      </c>
      <c r="DV35" s="95">
        <v>743152.86101200012</v>
      </c>
      <c r="DW35" s="95">
        <v>747128.11409300007</v>
      </c>
      <c r="DX35" s="95">
        <v>746503.10840000003</v>
      </c>
      <c r="DY35" s="95">
        <v>747067.78088999994</v>
      </c>
      <c r="DZ35" s="95">
        <v>748090.16087999998</v>
      </c>
      <c r="EA35" s="95">
        <v>746918.01878399996</v>
      </c>
      <c r="EB35" s="95">
        <v>740114.63577000005</v>
      </c>
    </row>
    <row r="36" spans="1:132" x14ac:dyDescent="0.35">
      <c r="AC36" s="4"/>
      <c r="AJ36" s="83"/>
      <c r="AM36" s="37"/>
      <c r="AP36" s="1"/>
      <c r="AR36" s="1"/>
      <c r="BA36" s="17"/>
      <c r="BC36" s="1"/>
      <c r="BG36" s="1"/>
      <c r="BH36" s="71"/>
      <c r="BK36" s="8"/>
      <c r="BS36" s="38"/>
      <c r="BU36" s="56"/>
      <c r="BY36" s="22"/>
      <c r="BZ36" s="96"/>
      <c r="CA36" s="14"/>
      <c r="CB36" s="8"/>
      <c r="CD36" s="56"/>
      <c r="CK36" s="56"/>
      <c r="CL36" s="56"/>
    </row>
  </sheetData>
  <phoneticPr fontId="19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2026-02-03T13:46:05Z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