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zell.wray\Downloads\"/>
    </mc:Choice>
  </mc:AlternateContent>
  <xr:revisionPtr revIDLastSave="0" documentId="8_{98885214-3ED6-4D5A-AE2F-6169D761F3B4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2" r:id="rId1"/>
  </sheets>
  <externalReferences>
    <externalReference r:id="rId2"/>
  </externalReferences>
  <definedNames>
    <definedName name="__123Graph_B" hidden="1">'[1]Nov24 - Stock of Debt'!#REF!</definedName>
    <definedName name="__123Graph_D" hidden="1">'[1]Nov24 - Stock of Debt'!#REF!</definedName>
    <definedName name="__123Graph_F" hidden="1">'[1]Nov24 - Stock of Debt'!#REF!</definedName>
    <definedName name="__123Graph_X" hidden="1">'[1]Nov24 - Stock of Debt'!#REF!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G18" i="2" l="1"/>
  <c r="EH24" i="2" l="1"/>
  <c r="EH13" i="2" l="1"/>
  <c r="EH18" i="2"/>
  <c r="EH30" i="2"/>
  <c r="EH23" i="2" s="1"/>
  <c r="EG30" i="2"/>
  <c r="EG24" i="2"/>
  <c r="EF24" i="2"/>
  <c r="EH12" i="2" l="1"/>
  <c r="EH11" i="2" s="1"/>
  <c r="EG13" i="2"/>
  <c r="EG23" i="2"/>
  <c r="EG12" i="2" l="1"/>
  <c r="EG11" i="2" s="1"/>
  <c r="EF13" i="2" l="1"/>
  <c r="EF18" i="2"/>
  <c r="EF30" i="2"/>
  <c r="EF12" i="2" l="1"/>
  <c r="EF23" i="2"/>
  <c r="EF11" i="2" l="1"/>
  <c r="EE30" i="2" l="1"/>
  <c r="EE13" i="2" l="1"/>
  <c r="EE18" i="2"/>
  <c r="EE24" i="2"/>
  <c r="EE23" i="2" l="1"/>
  <c r="EE12" i="2"/>
  <c r="ED18" i="2"/>
  <c r="ED13" i="2"/>
  <c r="EE11" i="2" l="1"/>
  <c r="ED12" i="2"/>
  <c r="ED24" i="2"/>
  <c r="ED30" i="2"/>
  <c r="EC30" i="2"/>
  <c r="EC24" i="2"/>
  <c r="ED23" i="2" l="1"/>
  <c r="ED11" i="2"/>
  <c r="EC18" i="2"/>
  <c r="EC13" i="2"/>
  <c r="EB13" i="2"/>
  <c r="EB18" i="2"/>
  <c r="EB24" i="2"/>
  <c r="EB30" i="2"/>
  <c r="EC12" i="2" l="1"/>
  <c r="EC23" i="2"/>
  <c r="EC11" i="2" s="1"/>
  <c r="EB12" i="2"/>
  <c r="EB23" i="2"/>
  <c r="EB11" i="2" l="1"/>
  <c r="EA13" i="2" l="1"/>
  <c r="EA18" i="2"/>
  <c r="EA24" i="2"/>
  <c r="EA30" i="2"/>
  <c r="EA23" i="2" l="1"/>
  <c r="EA12" i="2"/>
  <c r="EA11" i="2" l="1"/>
  <c r="DZ30" i="2" l="1"/>
  <c r="DZ24" i="2"/>
  <c r="DZ18" i="2"/>
  <c r="DZ13" i="2"/>
  <c r="DZ12" i="2" l="1"/>
  <c r="DZ23" i="2"/>
  <c r="DZ11" i="2" s="1"/>
  <c r="DY13" i="2" l="1"/>
  <c r="DY18" i="2"/>
  <c r="DY24" i="2"/>
  <c r="DY30" i="2"/>
  <c r="DX30" i="2"/>
  <c r="DX24" i="2"/>
  <c r="DX18" i="2"/>
  <c r="DX13" i="2"/>
  <c r="DW30" i="2"/>
  <c r="DW24" i="2"/>
  <c r="DW18" i="2"/>
  <c r="DW13" i="2"/>
  <c r="DV30" i="2"/>
  <c r="DV24" i="2"/>
  <c r="DV18" i="2"/>
  <c r="DV13" i="2"/>
  <c r="AH35" i="2"/>
  <c r="AG35" i="2"/>
  <c r="AF35" i="2"/>
  <c r="AE35" i="2"/>
  <c r="AD35" i="2"/>
  <c r="W35" i="2"/>
  <c r="V35" i="2"/>
  <c r="U35" i="2"/>
  <c r="T35" i="2"/>
  <c r="S35" i="2"/>
  <c r="R35" i="2"/>
  <c r="Q35" i="2"/>
  <c r="P35" i="2"/>
  <c r="O35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DU30" i="2"/>
  <c r="DT30" i="2"/>
  <c r="DS30" i="2"/>
  <c r="DR30" i="2"/>
  <c r="DQ30" i="2"/>
  <c r="DP30" i="2"/>
  <c r="DO30" i="2"/>
  <c r="DN30" i="2"/>
  <c r="DM30" i="2"/>
  <c r="DL30" i="2"/>
  <c r="DK30" i="2"/>
  <c r="DJ30" i="2"/>
  <c r="DI30" i="2"/>
  <c r="DH30" i="2"/>
  <c r="DG30" i="2"/>
  <c r="DF30" i="2"/>
  <c r="DE30" i="2"/>
  <c r="DD30" i="2"/>
  <c r="DC30" i="2"/>
  <c r="DB30" i="2"/>
  <c r="DA30" i="2"/>
  <c r="CZ30" i="2"/>
  <c r="CY30" i="2"/>
  <c r="CX30" i="2"/>
  <c r="CW30" i="2"/>
  <c r="CV30" i="2"/>
  <c r="CU30" i="2"/>
  <c r="CT30" i="2"/>
  <c r="CS30" i="2"/>
  <c r="CR30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Q30" i="2"/>
  <c r="AP30" i="2"/>
  <c r="AM29" i="2"/>
  <c r="AM35" i="2" s="1"/>
  <c r="AL29" i="2"/>
  <c r="AL35" i="2" s="1"/>
  <c r="AK29" i="2"/>
  <c r="AJ29" i="2"/>
  <c r="AI29" i="2"/>
  <c r="AI35" i="2" s="1"/>
  <c r="AC29" i="2"/>
  <c r="AC35" i="2" s="1"/>
  <c r="AB29" i="2"/>
  <c r="AB35" i="2" s="1"/>
  <c r="AA29" i="2"/>
  <c r="AA35" i="2" s="1"/>
  <c r="Z29" i="2"/>
  <c r="Z35" i="2" s="1"/>
  <c r="Y29" i="2"/>
  <c r="Y35" i="2" s="1"/>
  <c r="X29" i="2"/>
  <c r="X35" i="2" s="1"/>
  <c r="N29" i="2"/>
  <c r="N35" i="2" s="1"/>
  <c r="M29" i="2"/>
  <c r="M35" i="2" s="1"/>
  <c r="L29" i="2"/>
  <c r="L35" i="2" s="1"/>
  <c r="K29" i="2"/>
  <c r="K35" i="2" s="1"/>
  <c r="J29" i="2"/>
  <c r="J35" i="2" s="1"/>
  <c r="I29" i="2"/>
  <c r="I35" i="2" s="1"/>
  <c r="H29" i="2"/>
  <c r="H35" i="2" s="1"/>
  <c r="G29" i="2"/>
  <c r="G35" i="2" s="1"/>
  <c r="F29" i="2"/>
  <c r="F35" i="2" s="1"/>
  <c r="E29" i="2"/>
  <c r="E35" i="2" s="1"/>
  <c r="D29" i="2"/>
  <c r="D35" i="2" s="1"/>
  <c r="AM28" i="2"/>
  <c r="AM34" i="2" s="1"/>
  <c r="AL28" i="2"/>
  <c r="AK28" i="2"/>
  <c r="AJ28" i="2"/>
  <c r="AI28" i="2"/>
  <c r="N28" i="2"/>
  <c r="N34" i="2" s="1"/>
  <c r="M28" i="2"/>
  <c r="M34" i="2" s="1"/>
  <c r="L28" i="2"/>
  <c r="L34" i="2" s="1"/>
  <c r="K28" i="2"/>
  <c r="K34" i="2" s="1"/>
  <c r="J28" i="2"/>
  <c r="J34" i="2" s="1"/>
  <c r="I28" i="2"/>
  <c r="I34" i="2" s="1"/>
  <c r="H28" i="2"/>
  <c r="H34" i="2" s="1"/>
  <c r="G28" i="2"/>
  <c r="G34" i="2" s="1"/>
  <c r="F28" i="2"/>
  <c r="F34" i="2" s="1"/>
  <c r="E28" i="2"/>
  <c r="E34" i="2" s="1"/>
  <c r="D28" i="2"/>
  <c r="D34" i="2" s="1"/>
  <c r="AM27" i="2"/>
  <c r="AM33" i="2" s="1"/>
  <c r="AL27" i="2"/>
  <c r="AL33" i="2" s="1"/>
  <c r="AK27" i="2"/>
  <c r="AK33" i="2" s="1"/>
  <c r="AJ27" i="2"/>
  <c r="AJ33" i="2" s="1"/>
  <c r="AI27" i="2"/>
  <c r="AI33" i="2" s="1"/>
  <c r="AH27" i="2"/>
  <c r="AH33" i="2" s="1"/>
  <c r="AG27" i="2"/>
  <c r="AG33" i="2" s="1"/>
  <c r="AF27" i="2"/>
  <c r="AF33" i="2" s="1"/>
  <c r="AE27" i="2"/>
  <c r="AE33" i="2" s="1"/>
  <c r="AD27" i="2"/>
  <c r="AD33" i="2" s="1"/>
  <c r="AC27" i="2"/>
  <c r="AC33" i="2" s="1"/>
  <c r="AB27" i="2"/>
  <c r="AB33" i="2" s="1"/>
  <c r="AA27" i="2"/>
  <c r="AA33" i="2" s="1"/>
  <c r="Z27" i="2"/>
  <c r="Z33" i="2" s="1"/>
  <c r="Y27" i="2"/>
  <c r="Y33" i="2" s="1"/>
  <c r="X27" i="2"/>
  <c r="X33" i="2" s="1"/>
  <c r="W27" i="2"/>
  <c r="W33" i="2" s="1"/>
  <c r="V27" i="2"/>
  <c r="V33" i="2" s="1"/>
  <c r="U27" i="2"/>
  <c r="U33" i="2" s="1"/>
  <c r="T27" i="2"/>
  <c r="T33" i="2" s="1"/>
  <c r="S27" i="2"/>
  <c r="S33" i="2" s="1"/>
  <c r="R27" i="2"/>
  <c r="R33" i="2" s="1"/>
  <c r="Q27" i="2"/>
  <c r="Q33" i="2" s="1"/>
  <c r="P27" i="2"/>
  <c r="P33" i="2" s="1"/>
  <c r="O27" i="2"/>
  <c r="O33" i="2" s="1"/>
  <c r="N27" i="2"/>
  <c r="N33" i="2" s="1"/>
  <c r="M27" i="2"/>
  <c r="M33" i="2" s="1"/>
  <c r="L27" i="2"/>
  <c r="L33" i="2" s="1"/>
  <c r="K27" i="2"/>
  <c r="K33" i="2" s="1"/>
  <c r="J27" i="2"/>
  <c r="J33" i="2" s="1"/>
  <c r="I27" i="2"/>
  <c r="I33" i="2" s="1"/>
  <c r="H27" i="2"/>
  <c r="H33" i="2" s="1"/>
  <c r="G27" i="2"/>
  <c r="G33" i="2" s="1"/>
  <c r="F27" i="2"/>
  <c r="F33" i="2" s="1"/>
  <c r="E27" i="2"/>
  <c r="E33" i="2" s="1"/>
  <c r="D27" i="2"/>
  <c r="D33" i="2" s="1"/>
  <c r="AM26" i="2"/>
  <c r="AL26" i="2"/>
  <c r="AK26" i="2"/>
  <c r="AK32" i="2" s="1"/>
  <c r="AJ26" i="2"/>
  <c r="AJ32" i="2" s="1"/>
  <c r="AI26" i="2"/>
  <c r="AI32" i="2" s="1"/>
  <c r="AH26" i="2"/>
  <c r="AH32" i="2" s="1"/>
  <c r="AG26" i="2"/>
  <c r="AG32" i="2" s="1"/>
  <c r="AF26" i="2"/>
  <c r="AF32" i="2" s="1"/>
  <c r="AE26" i="2"/>
  <c r="AD26" i="2"/>
  <c r="AD24" i="2" s="1"/>
  <c r="AC26" i="2"/>
  <c r="AC32" i="2" s="1"/>
  <c r="AB26" i="2"/>
  <c r="AB32" i="2" s="1"/>
  <c r="AA26" i="2"/>
  <c r="AA32" i="2" s="1"/>
  <c r="Z26" i="2"/>
  <c r="Z32" i="2" s="1"/>
  <c r="Y26" i="2"/>
  <c r="Y32" i="2" s="1"/>
  <c r="X26" i="2"/>
  <c r="X32" i="2" s="1"/>
  <c r="W26" i="2"/>
  <c r="V26" i="2"/>
  <c r="U26" i="2"/>
  <c r="U32" i="2" s="1"/>
  <c r="T26" i="2"/>
  <c r="T32" i="2" s="1"/>
  <c r="S26" i="2"/>
  <c r="S32" i="2" s="1"/>
  <c r="R26" i="2"/>
  <c r="R32" i="2" s="1"/>
  <c r="Q26" i="2"/>
  <c r="Q32" i="2" s="1"/>
  <c r="P26" i="2"/>
  <c r="P32" i="2" s="1"/>
  <c r="O26" i="2"/>
  <c r="N26" i="2"/>
  <c r="M26" i="2"/>
  <c r="M32" i="2" s="1"/>
  <c r="L26" i="2"/>
  <c r="L32" i="2" s="1"/>
  <c r="K26" i="2"/>
  <c r="K32" i="2" s="1"/>
  <c r="J26" i="2"/>
  <c r="J32" i="2" s="1"/>
  <c r="I26" i="2"/>
  <c r="I32" i="2" s="1"/>
  <c r="H26" i="2"/>
  <c r="H32" i="2" s="1"/>
  <c r="G26" i="2"/>
  <c r="F26" i="2"/>
  <c r="E26" i="2"/>
  <c r="E32" i="2" s="1"/>
  <c r="D26" i="2"/>
  <c r="D32" i="2" s="1"/>
  <c r="AM25" i="2"/>
  <c r="AM31" i="2" s="1"/>
  <c r="AL25" i="2"/>
  <c r="AL31" i="2" s="1"/>
  <c r="AK25" i="2"/>
  <c r="AK31" i="2" s="1"/>
  <c r="AJ25" i="2"/>
  <c r="AJ31" i="2" s="1"/>
  <c r="AI25" i="2"/>
  <c r="AI31" i="2" s="1"/>
  <c r="AH25" i="2"/>
  <c r="AG25" i="2"/>
  <c r="AG31" i="2" s="1"/>
  <c r="AF25" i="2"/>
  <c r="AF31" i="2" s="1"/>
  <c r="AE25" i="2"/>
  <c r="AE31" i="2" s="1"/>
  <c r="AD25" i="2"/>
  <c r="AD31" i="2" s="1"/>
  <c r="AC25" i="2"/>
  <c r="AC31" i="2" s="1"/>
  <c r="AB25" i="2"/>
  <c r="AB31" i="2" s="1"/>
  <c r="AA25" i="2"/>
  <c r="AA31" i="2" s="1"/>
  <c r="Z25" i="2"/>
  <c r="Z31" i="2" s="1"/>
  <c r="Y25" i="2"/>
  <c r="Y31" i="2" s="1"/>
  <c r="X25" i="2"/>
  <c r="X31" i="2" s="1"/>
  <c r="W25" i="2"/>
  <c r="W31" i="2" s="1"/>
  <c r="V25" i="2"/>
  <c r="V31" i="2" s="1"/>
  <c r="U25" i="2"/>
  <c r="U31" i="2" s="1"/>
  <c r="T25" i="2"/>
  <c r="T31" i="2" s="1"/>
  <c r="S25" i="2"/>
  <c r="S31" i="2" s="1"/>
  <c r="R25" i="2"/>
  <c r="Q25" i="2"/>
  <c r="P25" i="2"/>
  <c r="P31" i="2" s="1"/>
  <c r="O25" i="2"/>
  <c r="O31" i="2" s="1"/>
  <c r="N25" i="2"/>
  <c r="N31" i="2" s="1"/>
  <c r="M25" i="2"/>
  <c r="M31" i="2" s="1"/>
  <c r="L25" i="2"/>
  <c r="L31" i="2" s="1"/>
  <c r="K25" i="2"/>
  <c r="K31" i="2" s="1"/>
  <c r="J25" i="2"/>
  <c r="I25" i="2"/>
  <c r="I31" i="2" s="1"/>
  <c r="I30" i="2" s="1"/>
  <c r="H25" i="2"/>
  <c r="H31" i="2" s="1"/>
  <c r="G25" i="2"/>
  <c r="G31" i="2" s="1"/>
  <c r="F25" i="2"/>
  <c r="F31" i="2" s="1"/>
  <c r="E25" i="2"/>
  <c r="E31" i="2" s="1"/>
  <c r="D25" i="2"/>
  <c r="D31" i="2" s="1"/>
  <c r="DU24" i="2"/>
  <c r="DT24" i="2"/>
  <c r="DS24" i="2"/>
  <c r="DR24" i="2"/>
  <c r="DQ24" i="2"/>
  <c r="DP24" i="2"/>
  <c r="DO24" i="2"/>
  <c r="DN24" i="2"/>
  <c r="DM24" i="2"/>
  <c r="DL24" i="2"/>
  <c r="DL23" i="2" s="1"/>
  <c r="DK24" i="2"/>
  <c r="DJ24" i="2"/>
  <c r="DI24" i="2"/>
  <c r="DH24" i="2"/>
  <c r="DG24" i="2"/>
  <c r="DF24" i="2"/>
  <c r="DE24" i="2"/>
  <c r="DD24" i="2"/>
  <c r="DC24" i="2"/>
  <c r="DB24" i="2"/>
  <c r="DA24" i="2"/>
  <c r="DA23" i="2" s="1"/>
  <c r="CZ24" i="2"/>
  <c r="CY24" i="2"/>
  <c r="CX24" i="2"/>
  <c r="CW24" i="2"/>
  <c r="CV24" i="2"/>
  <c r="CU24" i="2"/>
  <c r="CT24" i="2"/>
  <c r="CS24" i="2"/>
  <c r="CR24" i="2"/>
  <c r="CQ24" i="2"/>
  <c r="CP24" i="2"/>
  <c r="CO24" i="2"/>
  <c r="CN24" i="2"/>
  <c r="CM24" i="2"/>
  <c r="CM23" i="2" s="1"/>
  <c r="CL24" i="2"/>
  <c r="CK24" i="2"/>
  <c r="CK23" i="2" s="1"/>
  <c r="CJ24" i="2"/>
  <c r="CJ23" i="2" s="1"/>
  <c r="CI24" i="2"/>
  <c r="CH24" i="2"/>
  <c r="CG24" i="2"/>
  <c r="CF24" i="2"/>
  <c r="CE24" i="2"/>
  <c r="CD24" i="2"/>
  <c r="CC24" i="2"/>
  <c r="CB24" i="2"/>
  <c r="CA24" i="2"/>
  <c r="BZ24" i="2"/>
  <c r="BY24" i="2"/>
  <c r="BX24" i="2"/>
  <c r="BX23" i="2" s="1"/>
  <c r="BW24" i="2"/>
  <c r="BW23" i="2" s="1"/>
  <c r="BV24" i="2"/>
  <c r="BU24" i="2"/>
  <c r="BT24" i="2"/>
  <c r="BS24" i="2"/>
  <c r="BR24" i="2"/>
  <c r="BQ24" i="2"/>
  <c r="BP24" i="2"/>
  <c r="BO24" i="2"/>
  <c r="BN24" i="2"/>
  <c r="BM24" i="2"/>
  <c r="BL24" i="2"/>
  <c r="BK24" i="2"/>
  <c r="BJ24" i="2"/>
  <c r="BI24" i="2"/>
  <c r="BH24" i="2"/>
  <c r="BH23" i="2" s="1"/>
  <c r="BG24" i="2"/>
  <c r="BF24" i="2"/>
  <c r="BE24" i="2"/>
  <c r="BD24" i="2"/>
  <c r="BC24" i="2"/>
  <c r="BB24" i="2"/>
  <c r="BA24" i="2"/>
  <c r="AZ24" i="2"/>
  <c r="AZ23" i="2" s="1"/>
  <c r="AY24" i="2"/>
  <c r="AX24" i="2"/>
  <c r="AW24" i="2"/>
  <c r="AW23" i="2" s="1"/>
  <c r="AV24" i="2"/>
  <c r="AU24" i="2"/>
  <c r="AT24" i="2"/>
  <c r="AS24" i="2"/>
  <c r="AQ24" i="2"/>
  <c r="AP24" i="2"/>
  <c r="AM21" i="2"/>
  <c r="AL21" i="2"/>
  <c r="AK21" i="2"/>
  <c r="AJ21" i="2"/>
  <c r="AI21" i="2"/>
  <c r="AH21" i="2"/>
  <c r="AG21" i="2"/>
  <c r="AF21" i="2"/>
  <c r="AE21" i="2"/>
  <c r="AD21" i="2"/>
  <c r="R21" i="2"/>
  <c r="Q21" i="2"/>
  <c r="P21" i="2"/>
  <c r="O21" i="2"/>
  <c r="AM20" i="2"/>
  <c r="AL20" i="2"/>
  <c r="AK20" i="2"/>
  <c r="AJ20" i="2"/>
  <c r="AI20" i="2"/>
  <c r="AH20" i="2"/>
  <c r="AG20" i="2"/>
  <c r="AF20" i="2"/>
  <c r="AE20" i="2"/>
  <c r="AD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AM19" i="2"/>
  <c r="AL19" i="2"/>
  <c r="AK19" i="2"/>
  <c r="AJ19" i="2"/>
  <c r="AI19" i="2"/>
  <c r="AH19" i="2"/>
  <c r="AG19" i="2"/>
  <c r="AF19" i="2"/>
  <c r="AE19" i="2"/>
  <c r="AD19" i="2"/>
  <c r="AC19" i="2"/>
  <c r="AC18" i="2" s="1"/>
  <c r="AB19" i="2"/>
  <c r="AB18" i="2" s="1"/>
  <c r="AA19" i="2"/>
  <c r="AA18" i="2" s="1"/>
  <c r="Z19" i="2"/>
  <c r="Z18" i="2" s="1"/>
  <c r="Y19" i="2"/>
  <c r="Y18" i="2" s="1"/>
  <c r="X19" i="2"/>
  <c r="X18" i="2" s="1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DU18" i="2"/>
  <c r="DT18" i="2"/>
  <c r="DS18" i="2"/>
  <c r="DR18" i="2"/>
  <c r="DQ18" i="2"/>
  <c r="DP18" i="2"/>
  <c r="DO18" i="2"/>
  <c r="DN18" i="2"/>
  <c r="DM18" i="2"/>
  <c r="DL18" i="2"/>
  <c r="DK18" i="2"/>
  <c r="DJ18" i="2"/>
  <c r="DI18" i="2"/>
  <c r="DH18" i="2"/>
  <c r="DG18" i="2"/>
  <c r="DF18" i="2"/>
  <c r="DE18" i="2"/>
  <c r="DD18" i="2"/>
  <c r="DC18" i="2"/>
  <c r="DB18" i="2"/>
  <c r="DA18" i="2"/>
  <c r="CZ18" i="2"/>
  <c r="CY18" i="2"/>
  <c r="CX18" i="2"/>
  <c r="CW18" i="2"/>
  <c r="CV18" i="2"/>
  <c r="CU18" i="2"/>
  <c r="CT18" i="2"/>
  <c r="CS18" i="2"/>
  <c r="CR18" i="2"/>
  <c r="CQ18" i="2"/>
  <c r="CP18" i="2"/>
  <c r="CO18" i="2"/>
  <c r="CN18" i="2"/>
  <c r="CM18" i="2"/>
  <c r="CL18" i="2"/>
  <c r="CK18" i="2"/>
  <c r="CJ18" i="2"/>
  <c r="CI18" i="2"/>
  <c r="CH18" i="2"/>
  <c r="CG18" i="2"/>
  <c r="CF18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Q18" i="2"/>
  <c r="AP18" i="2"/>
  <c r="DU13" i="2"/>
  <c r="DT13" i="2"/>
  <c r="DS13" i="2"/>
  <c r="DR13" i="2"/>
  <c r="DQ13" i="2"/>
  <c r="DP13" i="2"/>
  <c r="DO13" i="2"/>
  <c r="DO12" i="2" s="1"/>
  <c r="DN13" i="2"/>
  <c r="DM13" i="2"/>
  <c r="DL13" i="2"/>
  <c r="DK13" i="2"/>
  <c r="DJ13" i="2"/>
  <c r="DI13" i="2"/>
  <c r="DH13" i="2"/>
  <c r="DG13" i="2"/>
  <c r="DG12" i="2" s="1"/>
  <c r="DF13" i="2"/>
  <c r="DE13" i="2"/>
  <c r="DD13" i="2"/>
  <c r="DC13" i="2"/>
  <c r="DB13" i="2"/>
  <c r="DA13" i="2"/>
  <c r="CZ13" i="2"/>
  <c r="CY13" i="2"/>
  <c r="CY12" i="2" s="1"/>
  <c r="CX13" i="2"/>
  <c r="CW13" i="2"/>
  <c r="CV13" i="2"/>
  <c r="CU13" i="2"/>
  <c r="CT13" i="2"/>
  <c r="CS13" i="2"/>
  <c r="CR13" i="2"/>
  <c r="CR12" i="2" s="1"/>
  <c r="CQ13" i="2"/>
  <c r="CQ12" i="2" s="1"/>
  <c r="CP13" i="2"/>
  <c r="CO13" i="2"/>
  <c r="CN13" i="2"/>
  <c r="CM13" i="2"/>
  <c r="CL13" i="2"/>
  <c r="CK13" i="2"/>
  <c r="CK12" i="2" s="1"/>
  <c r="CJ13" i="2"/>
  <c r="CI13" i="2"/>
  <c r="CI12" i="2" s="1"/>
  <c r="CH13" i="2"/>
  <c r="CG13" i="2"/>
  <c r="CF13" i="2"/>
  <c r="CE13" i="2"/>
  <c r="CD13" i="2"/>
  <c r="CC13" i="2"/>
  <c r="CB13" i="2"/>
  <c r="CB12" i="2" s="1"/>
  <c r="CA13" i="2"/>
  <c r="CA12" i="2" s="1"/>
  <c r="BZ13" i="2"/>
  <c r="BY13" i="2"/>
  <c r="BX13" i="2"/>
  <c r="BW13" i="2"/>
  <c r="BV13" i="2"/>
  <c r="BU13" i="2"/>
  <c r="BT13" i="2"/>
  <c r="BS13" i="2"/>
  <c r="BS12" i="2" s="1"/>
  <c r="BR13" i="2"/>
  <c r="BQ13" i="2"/>
  <c r="BP13" i="2"/>
  <c r="BO13" i="2"/>
  <c r="BN13" i="2"/>
  <c r="BM13" i="2"/>
  <c r="BL13" i="2"/>
  <c r="BK13" i="2"/>
  <c r="BK12" i="2" s="1"/>
  <c r="BJ13" i="2"/>
  <c r="BI13" i="2"/>
  <c r="BH13" i="2"/>
  <c r="BG13" i="2"/>
  <c r="BF13" i="2"/>
  <c r="BE13" i="2"/>
  <c r="BD13" i="2"/>
  <c r="BC13" i="2"/>
  <c r="BC12" i="2" s="1"/>
  <c r="BB13" i="2"/>
  <c r="BA13" i="2"/>
  <c r="AZ13" i="2"/>
  <c r="AY13" i="2"/>
  <c r="AX13" i="2"/>
  <c r="AX12" i="2" s="1"/>
  <c r="AW13" i="2"/>
  <c r="AW12" i="2" s="1"/>
  <c r="AV13" i="2"/>
  <c r="AU13" i="2"/>
  <c r="AT13" i="2"/>
  <c r="AS13" i="2"/>
  <c r="AQ13" i="2"/>
  <c r="AP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6" i="2"/>
  <c r="C5" i="2"/>
  <c r="DW12" i="2" l="1"/>
  <c r="H30" i="2"/>
  <c r="N24" i="2"/>
  <c r="CN23" i="2"/>
  <c r="AY23" i="2"/>
  <c r="BM23" i="2"/>
  <c r="DC23" i="2"/>
  <c r="DD23" i="2"/>
  <c r="BA23" i="2"/>
  <c r="BO23" i="2"/>
  <c r="CC23" i="2"/>
  <c r="DS23" i="2"/>
  <c r="BP23" i="2"/>
  <c r="DT23" i="2"/>
  <c r="F24" i="2"/>
  <c r="J24" i="2"/>
  <c r="L30" i="2"/>
  <c r="AU12" i="2"/>
  <c r="BI12" i="2"/>
  <c r="V24" i="2"/>
  <c r="CE23" i="2"/>
  <c r="CS23" i="2"/>
  <c r="Q24" i="2"/>
  <c r="CF23" i="2"/>
  <c r="D30" i="2"/>
  <c r="R24" i="2"/>
  <c r="AL24" i="2"/>
  <c r="U18" i="2"/>
  <c r="U12" i="2" s="1"/>
  <c r="AP23" i="2"/>
  <c r="BE23" i="2"/>
  <c r="CG23" i="2"/>
  <c r="CU23" i="2"/>
  <c r="AQ23" i="2"/>
  <c r="CV23" i="2"/>
  <c r="AH24" i="2"/>
  <c r="AG18" i="2"/>
  <c r="AG12" i="2" s="1"/>
  <c r="BG23" i="2"/>
  <c r="BU23" i="2"/>
  <c r="BU11" i="2" s="1"/>
  <c r="DK23" i="2"/>
  <c r="DV12" i="2"/>
  <c r="AC12" i="2"/>
  <c r="AS12" i="2"/>
  <c r="BA12" i="2"/>
  <c r="BQ12" i="2"/>
  <c r="BY12" i="2"/>
  <c r="DX12" i="2"/>
  <c r="P30" i="2"/>
  <c r="CC12" i="2"/>
  <c r="CS12" i="2"/>
  <c r="DA12" i="2"/>
  <c r="DA11" i="2" s="1"/>
  <c r="DI12" i="2"/>
  <c r="DY23" i="2"/>
  <c r="BV12" i="2"/>
  <c r="K18" i="2"/>
  <c r="K12" i="2" s="1"/>
  <c r="BM12" i="2"/>
  <c r="BM11" i="2" s="1"/>
  <c r="CG12" i="2"/>
  <c r="CG11" i="2" s="1"/>
  <c r="CO12" i="2"/>
  <c r="CW12" i="2"/>
  <c r="DE12" i="2"/>
  <c r="DM12" i="2"/>
  <c r="DU12" i="2"/>
  <c r="DY12" i="2"/>
  <c r="DX23" i="2"/>
  <c r="DW23" i="2"/>
  <c r="DW11" i="2" s="1"/>
  <c r="DV23" i="2"/>
  <c r="AV23" i="2"/>
  <c r="BD23" i="2"/>
  <c r="BT23" i="2"/>
  <c r="CR23" i="2"/>
  <c r="CR11" i="2" s="1"/>
  <c r="CZ23" i="2"/>
  <c r="DH23" i="2"/>
  <c r="Q31" i="2"/>
  <c r="Q30" i="2" s="1"/>
  <c r="AT23" i="2"/>
  <c r="BB23" i="2"/>
  <c r="BJ23" i="2"/>
  <c r="BR23" i="2"/>
  <c r="BZ23" i="2"/>
  <c r="CH23" i="2"/>
  <c r="CP23" i="2"/>
  <c r="CX23" i="2"/>
  <c r="DF23" i="2"/>
  <c r="DN23" i="2"/>
  <c r="V18" i="2"/>
  <c r="V12" i="2" s="1"/>
  <c r="G18" i="2"/>
  <c r="G12" i="2" s="1"/>
  <c r="W18" i="2"/>
  <c r="W12" i="2" s="1"/>
  <c r="AE18" i="2"/>
  <c r="AE12" i="2" s="1"/>
  <c r="AM18" i="2"/>
  <c r="AM12" i="2" s="1"/>
  <c r="S18" i="2"/>
  <c r="S12" i="2" s="1"/>
  <c r="P18" i="2"/>
  <c r="F18" i="2"/>
  <c r="F12" i="2" s="1"/>
  <c r="CD12" i="2"/>
  <c r="DB12" i="2"/>
  <c r="DR12" i="2"/>
  <c r="N18" i="2"/>
  <c r="N12" i="2" s="1"/>
  <c r="I18" i="2"/>
  <c r="I12" i="2" s="1"/>
  <c r="Q18" i="2"/>
  <c r="Q12" i="2" s="1"/>
  <c r="Y12" i="2"/>
  <c r="E18" i="2"/>
  <c r="E12" i="2" s="1"/>
  <c r="M18" i="2"/>
  <c r="M12" i="2" s="1"/>
  <c r="AI18" i="2"/>
  <c r="AI12" i="2" s="1"/>
  <c r="AK18" i="2"/>
  <c r="AK12" i="2" s="1"/>
  <c r="AI34" i="2"/>
  <c r="AI30" i="2" s="1"/>
  <c r="BF12" i="2"/>
  <c r="CL12" i="2"/>
  <c r="CT12" i="2"/>
  <c r="DJ12" i="2"/>
  <c r="AQ12" i="2"/>
  <c r="AQ11" i="2" s="1"/>
  <c r="AZ12" i="2"/>
  <c r="AZ11" i="2" s="1"/>
  <c r="BH12" i="2"/>
  <c r="BH11" i="2" s="1"/>
  <c r="BP12" i="2"/>
  <c r="BP11" i="2" s="1"/>
  <c r="BX12" i="2"/>
  <c r="BX11" i="2" s="1"/>
  <c r="CF12" i="2"/>
  <c r="CN12" i="2"/>
  <c r="CN11" i="2" s="1"/>
  <c r="CV12" i="2"/>
  <c r="DD12" i="2"/>
  <c r="DL12" i="2"/>
  <c r="DL11" i="2" s="1"/>
  <c r="DT12" i="2"/>
  <c r="AU23" i="2"/>
  <c r="AU11" i="2" s="1"/>
  <c r="BC23" i="2"/>
  <c r="BC11" i="2" s="1"/>
  <c r="BK23" i="2"/>
  <c r="BK11" i="2" s="1"/>
  <c r="BS23" i="2"/>
  <c r="BS11" i="2" s="1"/>
  <c r="CA23" i="2"/>
  <c r="CA11" i="2" s="1"/>
  <c r="CI23" i="2"/>
  <c r="CI11" i="2" s="1"/>
  <c r="CQ23" i="2"/>
  <c r="CQ11" i="2" s="1"/>
  <c r="CY23" i="2"/>
  <c r="CY11" i="2" s="1"/>
  <c r="DG23" i="2"/>
  <c r="DG11" i="2" s="1"/>
  <c r="DO23" i="2"/>
  <c r="DO11" i="2" s="1"/>
  <c r="M30" i="2"/>
  <c r="DQ12" i="2"/>
  <c r="BN12" i="2"/>
  <c r="BL23" i="2"/>
  <c r="CB23" i="2"/>
  <c r="CB11" i="2" s="1"/>
  <c r="BE12" i="2"/>
  <c r="BE11" i="2" s="1"/>
  <c r="AA12" i="2"/>
  <c r="AT12" i="2"/>
  <c r="AT11" i="2" s="1"/>
  <c r="BB12" i="2"/>
  <c r="BB11" i="2" s="1"/>
  <c r="BJ12" i="2"/>
  <c r="BR12" i="2"/>
  <c r="BR11" i="2" s="1"/>
  <c r="BZ12" i="2"/>
  <c r="BZ11" i="2" s="1"/>
  <c r="CH12" i="2"/>
  <c r="CH11" i="2" s="1"/>
  <c r="CP12" i="2"/>
  <c r="CX12" i="2"/>
  <c r="DF12" i="2"/>
  <c r="DN12" i="2"/>
  <c r="H18" i="2"/>
  <c r="H12" i="2" s="1"/>
  <c r="AW11" i="2"/>
  <c r="BU12" i="2"/>
  <c r="AV12" i="2"/>
  <c r="BD12" i="2"/>
  <c r="BL12" i="2"/>
  <c r="BT12" i="2"/>
  <c r="CJ12" i="2"/>
  <c r="CJ11" i="2" s="1"/>
  <c r="CZ12" i="2"/>
  <c r="DH12" i="2"/>
  <c r="DP12" i="2"/>
  <c r="AF18" i="2"/>
  <c r="AF12" i="2" s="1"/>
  <c r="O18" i="2"/>
  <c r="O12" i="2" s="1"/>
  <c r="Y30" i="2"/>
  <c r="AG30" i="2"/>
  <c r="J31" i="2"/>
  <c r="J30" i="2" s="1"/>
  <c r="J23" i="2" s="1"/>
  <c r="E30" i="2"/>
  <c r="U30" i="2"/>
  <c r="AC30" i="2"/>
  <c r="U24" i="2"/>
  <c r="DI23" i="2"/>
  <c r="DQ23" i="2"/>
  <c r="AL32" i="2"/>
  <c r="AB12" i="2"/>
  <c r="AG24" i="2"/>
  <c r="AX23" i="2"/>
  <c r="AX11" i="2" s="1"/>
  <c r="BF23" i="2"/>
  <c r="BN23" i="2"/>
  <c r="BV23" i="2"/>
  <c r="CD23" i="2"/>
  <c r="CL23" i="2"/>
  <c r="CT23" i="2"/>
  <c r="DB23" i="2"/>
  <c r="DJ23" i="2"/>
  <c r="DR23" i="2"/>
  <c r="AF30" i="2"/>
  <c r="AL34" i="2"/>
  <c r="AL30" i="2" s="1"/>
  <c r="D18" i="2"/>
  <c r="D12" i="2" s="1"/>
  <c r="L18" i="2"/>
  <c r="L12" i="2" s="1"/>
  <c r="T18" i="2"/>
  <c r="T12" i="2" s="1"/>
  <c r="AD18" i="2"/>
  <c r="AD12" i="2" s="1"/>
  <c r="E24" i="2"/>
  <c r="Z30" i="2"/>
  <c r="AL18" i="2"/>
  <c r="AL12" i="2" s="1"/>
  <c r="Y24" i="2"/>
  <c r="CK11" i="2"/>
  <c r="AP12" i="2"/>
  <c r="AP11" i="2" s="1"/>
  <c r="AY12" i="2"/>
  <c r="AY11" i="2" s="1"/>
  <c r="BG12" i="2"/>
  <c r="BO12" i="2"/>
  <c r="CE12" i="2"/>
  <c r="CM12" i="2"/>
  <c r="CM11" i="2" s="1"/>
  <c r="CU12" i="2"/>
  <c r="CU11" i="2" s="1"/>
  <c r="DC12" i="2"/>
  <c r="DS12" i="2"/>
  <c r="J18" i="2"/>
  <c r="J12" i="2" s="1"/>
  <c r="R18" i="2"/>
  <c r="R12" i="2" s="1"/>
  <c r="Z12" i="2"/>
  <c r="BA11" i="2"/>
  <c r="I24" i="2"/>
  <c r="I23" i="2" s="1"/>
  <c r="AS23" i="2"/>
  <c r="AS11" i="2" s="1"/>
  <c r="BI23" i="2"/>
  <c r="BI11" i="2" s="1"/>
  <c r="BQ23" i="2"/>
  <c r="BY23" i="2"/>
  <c r="BY11" i="2" s="1"/>
  <c r="CO23" i="2"/>
  <c r="CW23" i="2"/>
  <c r="DE23" i="2"/>
  <c r="DM23" i="2"/>
  <c r="DU23" i="2"/>
  <c r="K30" i="2"/>
  <c r="S30" i="2"/>
  <c r="AA30" i="2"/>
  <c r="X30" i="2"/>
  <c r="P12" i="2"/>
  <c r="BW12" i="2"/>
  <c r="BW11" i="2" s="1"/>
  <c r="DK12" i="2"/>
  <c r="M24" i="2"/>
  <c r="T30" i="2"/>
  <c r="DP23" i="2"/>
  <c r="Z24" i="2"/>
  <c r="AB30" i="2"/>
  <c r="AH31" i="2"/>
  <c r="AH30" i="2" s="1"/>
  <c r="W24" i="2"/>
  <c r="W32" i="2"/>
  <c r="W30" i="2" s="1"/>
  <c r="AK35" i="2"/>
  <c r="AK24" i="2"/>
  <c r="K24" i="2"/>
  <c r="K23" i="2" s="1"/>
  <c r="K11" i="2" s="1"/>
  <c r="AA24" i="2"/>
  <c r="V32" i="2"/>
  <c r="V30" i="2" s="1"/>
  <c r="V23" i="2" s="1"/>
  <c r="G24" i="2"/>
  <c r="G32" i="2"/>
  <c r="G30" i="2" s="1"/>
  <c r="O24" i="2"/>
  <c r="O32" i="2"/>
  <c r="O30" i="2" s="1"/>
  <c r="AE24" i="2"/>
  <c r="AE32" i="2"/>
  <c r="AE30" i="2" s="1"/>
  <c r="AK34" i="2"/>
  <c r="X12" i="2"/>
  <c r="R31" i="2"/>
  <c r="R30" i="2" s="1"/>
  <c r="F32" i="2"/>
  <c r="F30" i="2" s="1"/>
  <c r="F23" i="2" s="1"/>
  <c r="AH18" i="2"/>
  <c r="AH12" i="2" s="1"/>
  <c r="AJ18" i="2"/>
  <c r="AJ12" i="2" s="1"/>
  <c r="AI24" i="2"/>
  <c r="AD32" i="2"/>
  <c r="AD30" i="2" s="1"/>
  <c r="AD23" i="2" s="1"/>
  <c r="AM24" i="2"/>
  <c r="AM32" i="2"/>
  <c r="AM30" i="2" s="1"/>
  <c r="S24" i="2"/>
  <c r="AJ34" i="2"/>
  <c r="AJ35" i="2"/>
  <c r="N32" i="2"/>
  <c r="N30" i="2" s="1"/>
  <c r="N23" i="2" s="1"/>
  <c r="D24" i="2"/>
  <c r="L24" i="2"/>
  <c r="L23" i="2" s="1"/>
  <c r="T24" i="2"/>
  <c r="AB24" i="2"/>
  <c r="AJ24" i="2"/>
  <c r="AC24" i="2"/>
  <c r="H24" i="2"/>
  <c r="H23" i="2" s="1"/>
  <c r="P24" i="2"/>
  <c r="X24" i="2"/>
  <c r="AF24" i="2"/>
  <c r="R23" i="2" l="1"/>
  <c r="CT11" i="2"/>
  <c r="DC11" i="2"/>
  <c r="DT11" i="2"/>
  <c r="DD11" i="2"/>
  <c r="DS11" i="2"/>
  <c r="CS11" i="2"/>
  <c r="AH23" i="2"/>
  <c r="AH11" i="2" s="1"/>
  <c r="CX11" i="2"/>
  <c r="Q23" i="2"/>
  <c r="Q11" i="2" s="1"/>
  <c r="BV11" i="2"/>
  <c r="CC11" i="2"/>
  <c r="BO11" i="2"/>
  <c r="CV11" i="2"/>
  <c r="BQ11" i="2"/>
  <c r="BG11" i="2"/>
  <c r="CP11" i="2"/>
  <c r="CZ11" i="2"/>
  <c r="P23" i="2"/>
  <c r="CL11" i="2"/>
  <c r="Y23" i="2"/>
  <c r="Y11" i="2" s="1"/>
  <c r="AV11" i="2"/>
  <c r="CW11" i="2"/>
  <c r="CO11" i="2"/>
  <c r="CE11" i="2"/>
  <c r="CF11" i="2"/>
  <c r="DV11" i="2"/>
  <c r="AL23" i="2"/>
  <c r="AL11" i="2" s="1"/>
  <c r="DK11" i="2"/>
  <c r="I11" i="2"/>
  <c r="D23" i="2"/>
  <c r="D11" i="2" s="1"/>
  <c r="DU11" i="2"/>
  <c r="DR11" i="2"/>
  <c r="DI11" i="2"/>
  <c r="N11" i="2"/>
  <c r="DM11" i="2"/>
  <c r="DN11" i="2"/>
  <c r="BL11" i="2"/>
  <c r="DE11" i="2"/>
  <c r="DF11" i="2"/>
  <c r="DX11" i="2"/>
  <c r="J11" i="2"/>
  <c r="BJ11" i="2"/>
  <c r="DY11" i="2"/>
  <c r="DB11" i="2"/>
  <c r="AG23" i="2"/>
  <c r="AG11" i="2" s="1"/>
  <c r="BD11" i="2"/>
  <c r="BN11" i="2"/>
  <c r="Z23" i="2"/>
  <c r="Z11" i="2" s="1"/>
  <c r="F11" i="2"/>
  <c r="DH11" i="2"/>
  <c r="H11" i="2"/>
  <c r="V11" i="2"/>
  <c r="CD11" i="2"/>
  <c r="BT11" i="2"/>
  <c r="AB23" i="2"/>
  <c r="AB11" i="2" s="1"/>
  <c r="BF11" i="2"/>
  <c r="DQ11" i="2"/>
  <c r="DJ11" i="2"/>
  <c r="L11" i="2"/>
  <c r="P11" i="2"/>
  <c r="DP11" i="2"/>
  <c r="X23" i="2"/>
  <c r="X11" i="2" s="1"/>
  <c r="M23" i="2"/>
  <c r="M11" i="2" s="1"/>
  <c r="AD11" i="2"/>
  <c r="R11" i="2"/>
  <c r="AF23" i="2"/>
  <c r="AF11" i="2" s="1"/>
  <c r="T23" i="2"/>
  <c r="T11" i="2" s="1"/>
  <c r="AK30" i="2"/>
  <c r="AK23" i="2" s="1"/>
  <c r="AK11" i="2" s="1"/>
  <c r="AJ30" i="2"/>
  <c r="AJ23" i="2" s="1"/>
  <c r="AJ11" i="2" s="1"/>
  <c r="S23" i="2"/>
  <c r="S11" i="2" s="1"/>
  <c r="U23" i="2"/>
  <c r="U11" i="2" s="1"/>
  <c r="AI23" i="2"/>
  <c r="AI11" i="2" s="1"/>
  <c r="AC23" i="2"/>
  <c r="AC11" i="2" s="1"/>
  <c r="AA23" i="2"/>
  <c r="AA11" i="2" s="1"/>
  <c r="E23" i="2"/>
  <c r="E11" i="2" s="1"/>
  <c r="AE23" i="2"/>
  <c r="AE11" i="2" s="1"/>
  <c r="W23" i="2"/>
  <c r="W11" i="2" s="1"/>
  <c r="O23" i="2"/>
  <c r="O11" i="2" s="1"/>
  <c r="AM23" i="2"/>
  <c r="AM11" i="2" s="1"/>
  <c r="G23" i="2"/>
  <c r="G11" i="2" s="1"/>
</calcChain>
</file>

<file path=xl/sharedStrings.xml><?xml version="1.0" encoding="utf-8"?>
<sst xmlns="http://schemas.openxmlformats.org/spreadsheetml/2006/main" count="228" uniqueCount="219">
  <si>
    <t>DATA_DOMAIN</t>
  </si>
  <si>
    <t>CGD</t>
  </si>
  <si>
    <t>Dataset</t>
  </si>
  <si>
    <t>REF_AREA</t>
  </si>
  <si>
    <t>JM</t>
  </si>
  <si>
    <t>Country</t>
  </si>
  <si>
    <t>COUNTERPART_AREA</t>
  </si>
  <si>
    <t>_Z</t>
  </si>
  <si>
    <t xml:space="preserve">Counterpart area </t>
  </si>
  <si>
    <t>UNIT_MULT</t>
  </si>
  <si>
    <t>FREQ</t>
  </si>
  <si>
    <t>M</t>
  </si>
  <si>
    <t>COMMENT</t>
  </si>
  <si>
    <t>Published</t>
  </si>
  <si>
    <t>Observation status</t>
  </si>
  <si>
    <t>Country code</t>
  </si>
  <si>
    <t>Descriptor</t>
  </si>
  <si>
    <t>INDICATOR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</si>
  <si>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</si>
  <si>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</si>
  <si>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</si>
  <si>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</si>
  <si>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</si>
  <si>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</si>
  <si>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</si>
  <si>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</si>
  <si>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Central Government Gross Debt</t>
  </si>
  <si>
    <t xml:space="preserve">   Domestic Debt</t>
  </si>
  <si>
    <t xml:space="preserve">         Short Term</t>
  </si>
  <si>
    <t>J$ Benchmark Notes</t>
  </si>
  <si>
    <t>US$ Denominated Notes &amp; Loans</t>
  </si>
  <si>
    <t>T-Bills</t>
  </si>
  <si>
    <t>Long Term</t>
  </si>
  <si>
    <t>Commercial Bank &amp; Public Sector Entity Loans</t>
  </si>
  <si>
    <t>Other</t>
  </si>
  <si>
    <t xml:space="preserve">   External Debt</t>
  </si>
  <si>
    <t>Short Term</t>
  </si>
  <si>
    <t>Bilateral</t>
  </si>
  <si>
    <t>Multilateral</t>
  </si>
  <si>
    <t>Commercial Bank</t>
  </si>
  <si>
    <t>Other Commercial</t>
  </si>
  <si>
    <t>Bonds</t>
  </si>
  <si>
    <t>GCALN_G01_XDC</t>
  </si>
  <si>
    <t>GCALND_G01_XDC</t>
  </si>
  <si>
    <t>GCALNF_G01_XDC</t>
  </si>
  <si>
    <t>JM_CGD_ND_ST_001</t>
  </si>
  <si>
    <t>JM_CGD_ND_ST_002</t>
  </si>
  <si>
    <t>JM_CGD_ND_ST_003</t>
  </si>
  <si>
    <t>JM_CGD_ND_ST_004</t>
  </si>
  <si>
    <t>JM_CGD_ND_LT_001</t>
  </si>
  <si>
    <t>JM_CGD_ND_LT_002</t>
  </si>
  <si>
    <t>JM_CGD_ND_LT_003</t>
  </si>
  <si>
    <t>JM_CGD_ND_LT_004</t>
  </si>
  <si>
    <t>JM_CGD_ND_LT_005</t>
  </si>
  <si>
    <t>JM_CGD_NF_ST_001</t>
  </si>
  <si>
    <t>JM_CGD_NF_ST_002</t>
  </si>
  <si>
    <t>JM_CGD_NF_ST_003</t>
  </si>
  <si>
    <t>JM_CGD_NF_ST_004</t>
  </si>
  <si>
    <t>JM_CGD_NF_ST_005</t>
  </si>
  <si>
    <t>JM_CGD_NF_ST_006</t>
  </si>
  <si>
    <t>JM_CGD_NF_LT_001</t>
  </si>
  <si>
    <t>JM_CGD_NF_LT_002</t>
  </si>
  <si>
    <t>JM_CGD_NF_LT_003</t>
  </si>
  <si>
    <t>JM_CGD_NF_LT_004</t>
  </si>
  <si>
    <t>JM_CGD_NF_LT_005</t>
  </si>
  <si>
    <t>JM_CGD_NF_LT_006</t>
  </si>
  <si>
    <t>CGD_001</t>
  </si>
  <si>
    <t>CGD_002</t>
  </si>
  <si>
    <t>CGD_003</t>
  </si>
  <si>
    <t>CGD_004</t>
  </si>
  <si>
    <t>CGD_005</t>
  </si>
  <si>
    <t>CGD_006</t>
  </si>
  <si>
    <t>CGD_007</t>
  </si>
  <si>
    <t>CGD_008</t>
  </si>
  <si>
    <t>CGD_009</t>
  </si>
  <si>
    <t>CGD_010</t>
  </si>
  <si>
    <t>CGD_011</t>
  </si>
  <si>
    <t>CGD_012</t>
  </si>
  <si>
    <t>CGD_013</t>
  </si>
  <si>
    <t>CGD_014</t>
  </si>
  <si>
    <t>CGD_015</t>
  </si>
  <si>
    <t>CGD_016</t>
  </si>
  <si>
    <t>CGD_017</t>
  </si>
  <si>
    <t>CGD_018</t>
  </si>
  <si>
    <t>CGD_019</t>
  </si>
  <si>
    <t>CGD_020</t>
  </si>
  <si>
    <t>CGD_021</t>
  </si>
  <si>
    <t>CGD_022</t>
  </si>
  <si>
    <t>CGD_023</t>
  </si>
  <si>
    <t>CGD_024</t>
  </si>
  <si>
    <t>2016-12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</si>
  <si>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</si>
  <si>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</si>
  <si>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</si>
  <si>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</si>
  <si>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</si>
  <si>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</si>
  <si>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</si>
  <si>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</si>
  <si>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</si>
  <si>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2016-03</t>
  </si>
  <si>
    <t>2016-01</t>
  </si>
  <si>
    <t>2016-02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</si>
  <si>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</si>
  <si>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</si>
  <si>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</si>
  <si>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</si>
  <si>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</si>
  <si>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</si>
  <si>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</si>
  <si>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</si>
  <si>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CGD_025</t>
  </si>
  <si>
    <t>JM_CGD_ND_ST_005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</si>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</sst>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"/>
    <numFmt numFmtId="167" formatCode="_(* #,##0.00_);_(* \(#,##0.00\);_(* &quot;-&quot;?_);_(@_)"/>
    <numFmt numFmtId="168" formatCode="#,##0.00_ ;\-#,##0.00\ "/>
    <numFmt numFmtId="169" formatCode="0.0000"/>
    <numFmt numFmtId="170" formatCode="_-* #,##0.000_-;\-* #,##0.000_-;_-* &quot;-&quot;??_-;_-@_-"/>
    <numFmt numFmtId="171" formatCode="_-* #,##0.0_-;\-* #,##0.0_-;_-* &quot;-&quot;??_-;_-@_-"/>
  </numFmts>
  <fonts count="4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i/>
      <sz val="10"/>
      <color indexed="8"/>
      <name val="Calibri"/>
      <family val="2"/>
    </font>
    <font>
      <sz val="10"/>
      <name val="Times New Roman"/>
      <family val="1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Helv"/>
    </font>
    <font>
      <sz val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97">
    <xf numFmtId="0" fontId="0" fillId="0" borderId="0"/>
    <xf numFmtId="0" fontId="4" fillId="0" borderId="0"/>
    <xf numFmtId="43" fontId="9" fillId="0" borderId="0" applyFont="0" applyFill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3" applyNumberFormat="0" applyFill="0" applyAlignment="0" applyProtection="0"/>
    <xf numFmtId="0" fontId="24" fillId="0" borderId="24" applyNumberFormat="0" applyFill="0" applyAlignment="0" applyProtection="0"/>
    <xf numFmtId="0" fontId="25" fillId="0" borderId="2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1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0" fontId="9" fillId="8" borderId="30" applyNumberFormat="0" applyFont="0" applyAlignment="0" applyProtection="0"/>
    <xf numFmtId="9" fontId="12" fillId="0" borderId="0" applyFon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26" applyNumberFormat="0" applyAlignment="0" applyProtection="0"/>
    <xf numFmtId="0" fontId="31" fillId="6" borderId="27" applyNumberFormat="0" applyAlignment="0" applyProtection="0"/>
    <xf numFmtId="0" fontId="32" fillId="6" borderId="26" applyNumberFormat="0" applyAlignment="0" applyProtection="0"/>
    <xf numFmtId="0" fontId="33" fillId="0" borderId="28" applyNumberFormat="0" applyFill="0" applyAlignment="0" applyProtection="0"/>
    <xf numFmtId="0" fontId="34" fillId="7" borderId="29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37" fillId="9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26" fillId="0" borderId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9" fillId="18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9" fillId="23" borderId="0" applyNumberFormat="0" applyBorder="0" applyAlignment="0" applyProtection="0"/>
    <xf numFmtId="0" fontId="9" fillId="30" borderId="0" applyNumberFormat="0" applyBorder="0" applyAlignment="0" applyProtection="0"/>
    <xf numFmtId="164" fontId="12" fillId="0" borderId="0" applyFont="0" applyFill="0" applyBorder="0" applyAlignment="0" applyProtection="0"/>
    <xf numFmtId="0" fontId="9" fillId="14" borderId="0" applyNumberFormat="0" applyBorder="0" applyAlignment="0" applyProtection="0"/>
    <xf numFmtId="0" fontId="26" fillId="0" borderId="0"/>
    <xf numFmtId="165" fontId="9" fillId="0" borderId="0" applyFont="0" applyFill="0" applyBorder="0" applyAlignment="0" applyProtection="0"/>
    <xf numFmtId="0" fontId="9" fillId="19" borderId="0" applyNumberFormat="0" applyBorder="0" applyAlignment="0" applyProtection="0"/>
    <xf numFmtId="0" fontId="12" fillId="0" borderId="0"/>
    <xf numFmtId="9" fontId="9" fillId="0" borderId="0" applyFont="0" applyFill="0" applyBorder="0" applyAlignment="0" applyProtection="0"/>
    <xf numFmtId="0" fontId="9" fillId="26" borderId="0" applyNumberFormat="0" applyBorder="0" applyAlignment="0" applyProtection="0"/>
    <xf numFmtId="164" fontId="12" fillId="0" borderId="0" applyFont="0" applyFill="0" applyBorder="0" applyAlignment="0" applyProtection="0"/>
    <xf numFmtId="0" fontId="9" fillId="10" borderId="0" applyNumberFormat="0" applyBorder="0" applyAlignment="0" applyProtection="0"/>
    <xf numFmtId="164" fontId="12" fillId="0" borderId="0" applyFont="0" applyFill="0" applyBorder="0" applyAlignment="0" applyProtection="0"/>
    <xf numFmtId="0" fontId="9" fillId="31" borderId="0" applyNumberFormat="0" applyBorder="0" applyAlignment="0" applyProtection="0"/>
    <xf numFmtId="0" fontId="9" fillId="15" borderId="0" applyNumberFormat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22" borderId="0" applyNumberFormat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164" fontId="12" fillId="0" borderId="0" applyFont="0" applyFill="0" applyBorder="0" applyAlignment="0" applyProtection="0"/>
    <xf numFmtId="0" fontId="9" fillId="27" borderId="0" applyNumberFormat="0" applyBorder="0" applyAlignment="0" applyProtection="0"/>
    <xf numFmtId="0" fontId="9" fillId="11" borderId="0" applyNumberFormat="0" applyBorder="0" applyAlignment="0" applyProtection="0"/>
    <xf numFmtId="0" fontId="3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6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/>
    <xf numFmtId="0" fontId="39" fillId="0" borderId="0"/>
    <xf numFmtId="43" fontId="9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39" fillId="0" borderId="0"/>
    <xf numFmtId="0" fontId="38" fillId="0" borderId="0" applyNumberFormat="0" applyFill="0" applyBorder="0" applyAlignment="0" applyProtection="0"/>
  </cellStyleXfs>
  <cellXfs count="99">
    <xf numFmtId="0" fontId="0" fillId="0" borderId="0" xfId="0"/>
    <xf numFmtId="43" fontId="0" fillId="0" borderId="0" xfId="2" applyFont="1" applyFill="1" applyBorder="1"/>
    <xf numFmtId="43" fontId="10" fillId="0" borderId="0" xfId="2" applyFont="1" applyFill="1" applyBorder="1"/>
    <xf numFmtId="43" fontId="12" fillId="0" borderId="0" xfId="2" applyFont="1" applyFill="1" applyBorder="1"/>
    <xf numFmtId="43" fontId="13" fillId="0" borderId="0" xfId="2" applyFont="1" applyFill="1" applyBorder="1"/>
    <xf numFmtId="4" fontId="0" fillId="0" borderId="0" xfId="2" applyNumberFormat="1" applyFont="1" applyFill="1" applyBorder="1"/>
    <xf numFmtId="4" fontId="9" fillId="0" borderId="0" xfId="2" applyNumberFormat="1" applyFont="1" applyFill="1" applyBorder="1"/>
    <xf numFmtId="4" fontId="14" fillId="0" borderId="0" xfId="2" applyNumberFormat="1" applyFont="1" applyFill="1" applyBorder="1"/>
    <xf numFmtId="43" fontId="0" fillId="0" borderId="0" xfId="2" applyFont="1" applyFill="1"/>
    <xf numFmtId="4" fontId="10" fillId="0" borderId="0" xfId="2" applyNumberFormat="1" applyFont="1" applyFill="1" applyBorder="1"/>
    <xf numFmtId="4" fontId="0" fillId="0" borderId="7" xfId="2" applyNumberFormat="1" applyFont="1" applyFill="1" applyBorder="1"/>
    <xf numFmtId="4" fontId="0" fillId="0" borderId="0" xfId="2" applyNumberFormat="1" applyFont="1" applyFill="1" applyBorder="1" applyAlignment="1">
      <alignment horizontal="right"/>
    </xf>
    <xf numFmtId="4" fontId="14" fillId="0" borderId="0" xfId="2" applyNumberFormat="1" applyFont="1" applyFill="1" applyBorder="1" applyAlignment="1">
      <alignment horizontal="right"/>
    </xf>
    <xf numFmtId="4" fontId="0" fillId="0" borderId="7" xfId="2" applyNumberFormat="1" applyFont="1" applyFill="1" applyBorder="1" applyAlignment="1">
      <alignment horizontal="right"/>
    </xf>
    <xf numFmtId="43" fontId="10" fillId="0" borderId="0" xfId="2" applyFont="1" applyFill="1"/>
    <xf numFmtId="168" fontId="0" fillId="0" borderId="0" xfId="2" applyNumberFormat="1" applyFont="1" applyFill="1" applyBorder="1"/>
    <xf numFmtId="43" fontId="17" fillId="0" borderId="0" xfId="2" applyFont="1" applyFill="1"/>
    <xf numFmtId="43" fontId="17" fillId="0" borderId="0" xfId="2" applyFont="1" applyFill="1" applyBorder="1"/>
    <xf numFmtId="4" fontId="9" fillId="0" borderId="7" xfId="2" applyNumberFormat="1" applyFont="1" applyFill="1" applyBorder="1"/>
    <xf numFmtId="4" fontId="10" fillId="0" borderId="4" xfId="2" applyNumberFormat="1" applyFont="1" applyFill="1" applyBorder="1"/>
    <xf numFmtId="4" fontId="0" fillId="0" borderId="2" xfId="2" applyNumberFormat="1" applyFont="1" applyFill="1" applyBorder="1"/>
    <xf numFmtId="170" fontId="0" fillId="0" borderId="0" xfId="2" applyNumberFormat="1" applyFont="1" applyFill="1"/>
    <xf numFmtId="171" fontId="0" fillId="0" borderId="0" xfId="2" applyNumberFormat="1" applyFont="1" applyFill="1"/>
    <xf numFmtId="0" fontId="11" fillId="0" borderId="0" xfId="0" applyFont="1"/>
    <xf numFmtId="0" fontId="1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0" fillId="0" borderId="2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43" fontId="0" fillId="0" borderId="0" xfId="0" applyNumberFormat="1"/>
    <xf numFmtId="169" fontId="0" fillId="0" borderId="0" xfId="0" applyNumberFormat="1"/>
    <xf numFmtId="169" fontId="18" fillId="0" borderId="0" xfId="0" applyNumberFormat="1" applyFont="1"/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0" fillId="0" borderId="0" xfId="0" applyAlignment="1">
      <alignment horizontal="right"/>
    </xf>
    <xf numFmtId="166" fontId="5" fillId="0" borderId="14" xfId="1" applyNumberFormat="1" applyFont="1" applyBorder="1"/>
    <xf numFmtId="166" fontId="5" fillId="0" borderId="15" xfId="1" applyNumberFormat="1" applyFont="1" applyBorder="1"/>
    <xf numFmtId="166" fontId="15" fillId="0" borderId="0" xfId="0" applyNumberFormat="1" applyFont="1"/>
    <xf numFmtId="4" fontId="15" fillId="0" borderId="0" xfId="0" applyNumberFormat="1" applyFont="1"/>
    <xf numFmtId="4" fontId="10" fillId="0" borderId="0" xfId="0" applyNumberFormat="1" applyFont="1"/>
    <xf numFmtId="4" fontId="10" fillId="0" borderId="4" xfId="0" applyNumberFormat="1" applyFont="1" applyBorder="1"/>
    <xf numFmtId="4" fontId="10" fillId="0" borderId="5" xfId="0" applyNumberFormat="1" applyFont="1" applyBorder="1"/>
    <xf numFmtId="4" fontId="10" fillId="0" borderId="20" xfId="0" applyNumberFormat="1" applyFont="1" applyBorder="1"/>
    <xf numFmtId="0" fontId="3" fillId="0" borderId="0" xfId="0" applyFont="1" applyAlignment="1">
      <alignment horizontal="left" indent="1"/>
    </xf>
    <xf numFmtId="166" fontId="5" fillId="0" borderId="9" xfId="1" applyNumberFormat="1" applyFont="1" applyBorder="1"/>
    <xf numFmtId="166" fontId="5" fillId="0" borderId="0" xfId="1" applyNumberFormat="1" applyFont="1"/>
    <xf numFmtId="4" fontId="10" fillId="0" borderId="2" xfId="0" applyNumberFormat="1" applyFont="1" applyBorder="1"/>
    <xf numFmtId="4" fontId="10" fillId="0" borderId="21" xfId="0" applyNumberFormat="1" applyFont="1" applyBorder="1"/>
    <xf numFmtId="0" fontId="5" fillId="0" borderId="0" xfId="1" applyFont="1"/>
    <xf numFmtId="0" fontId="6" fillId="0" borderId="0" xfId="0" applyFont="1" applyAlignment="1">
      <alignment horizontal="left" indent="3"/>
    </xf>
    <xf numFmtId="166" fontId="8" fillId="0" borderId="9" xfId="1" applyNumberFormat="1" applyFont="1" applyBorder="1"/>
    <xf numFmtId="166" fontId="8" fillId="0" borderId="0" xfId="1" applyNumberFormat="1" applyFont="1"/>
    <xf numFmtId="166" fontId="14" fillId="0" borderId="0" xfId="0" applyNumberFormat="1" applyFont="1"/>
    <xf numFmtId="4" fontId="14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4" fontId="0" fillId="0" borderId="2" xfId="0" applyNumberFormat="1" applyBorder="1"/>
    <xf numFmtId="4" fontId="0" fillId="0" borderId="21" xfId="0" applyNumberFormat="1" applyBorder="1"/>
    <xf numFmtId="4" fontId="14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7" fillId="0" borderId="0" xfId="0" applyFont="1" applyAlignment="1">
      <alignment horizontal="left" indent="3"/>
    </xf>
    <xf numFmtId="4" fontId="10" fillId="0" borderId="0" xfId="0" applyNumberFormat="1" applyFont="1" applyAlignment="1">
      <alignment horizontal="right"/>
    </xf>
    <xf numFmtId="167" fontId="14" fillId="0" borderId="0" xfId="0" applyNumberFormat="1" applyFont="1"/>
    <xf numFmtId="168" fontId="10" fillId="0" borderId="0" xfId="0" applyNumberFormat="1" applyFont="1"/>
    <xf numFmtId="2" fontId="14" fillId="0" borderId="0" xfId="0" applyNumberFormat="1" applyFont="1"/>
    <xf numFmtId="4" fontId="16" fillId="0" borderId="0" xfId="0" applyNumberFormat="1" applyFont="1"/>
    <xf numFmtId="0" fontId="0" fillId="0" borderId="6" xfId="0" applyBorder="1"/>
    <xf numFmtId="0" fontId="6" fillId="0" borderId="7" xfId="0" applyFont="1" applyBorder="1" applyAlignment="1">
      <alignment horizontal="left" indent="3"/>
    </xf>
    <xf numFmtId="0" fontId="0" fillId="0" borderId="7" xfId="0" applyBorder="1" applyAlignment="1">
      <alignment horizontal="right"/>
    </xf>
    <xf numFmtId="166" fontId="8" fillId="0" borderId="16" xfId="1" applyNumberFormat="1" applyFont="1" applyBorder="1"/>
    <xf numFmtId="166" fontId="8" fillId="0" borderId="17" xfId="1" applyNumberFormat="1" applyFont="1" applyBorder="1"/>
    <xf numFmtId="166" fontId="8" fillId="0" borderId="7" xfId="1" applyNumberFormat="1" applyFont="1" applyBorder="1"/>
    <xf numFmtId="166" fontId="0" fillId="0" borderId="7" xfId="0" applyNumberFormat="1" applyBorder="1"/>
    <xf numFmtId="4" fontId="0" fillId="0" borderId="7" xfId="0" applyNumberFormat="1" applyBorder="1"/>
    <xf numFmtId="4" fontId="14" fillId="0" borderId="7" xfId="0" applyNumberFormat="1" applyFont="1" applyBorder="1"/>
    <xf numFmtId="4" fontId="0" fillId="0" borderId="7" xfId="0" applyNumberFormat="1" applyBorder="1" applyAlignment="1">
      <alignment horizontal="right"/>
    </xf>
    <xf numFmtId="4" fontId="0" fillId="0" borderId="8" xfId="0" applyNumberFormat="1" applyBorder="1"/>
    <xf numFmtId="4" fontId="0" fillId="0" borderId="22" xfId="0" applyNumberFormat="1" applyBorder="1"/>
    <xf numFmtId="43" fontId="10" fillId="0" borderId="0" xfId="0" applyNumberFormat="1" applyFont="1"/>
    <xf numFmtId="4" fontId="2" fillId="0" borderId="21" xfId="0" applyNumberFormat="1" applyFont="1" applyBorder="1"/>
    <xf numFmtId="4" fontId="41" fillId="0" borderId="21" xfId="0" applyNumberFormat="1" applyFont="1" applyBorder="1"/>
  </cellXfs>
  <cellStyles count="3997">
    <cellStyle name="20% - Accent1 10" xfId="16" xr:uid="{00000000-0005-0000-0000-000000000000}"/>
    <cellStyle name="20% - Accent1 10 2" xfId="17" xr:uid="{00000000-0005-0000-0000-000001000000}"/>
    <cellStyle name="20% - Accent1 10 3" xfId="18" xr:uid="{00000000-0005-0000-0000-000002000000}"/>
    <cellStyle name="20% - Accent1 10 4" xfId="19" xr:uid="{00000000-0005-0000-0000-000003000000}"/>
    <cellStyle name="20% - Accent1 11" xfId="20" xr:uid="{00000000-0005-0000-0000-000004000000}"/>
    <cellStyle name="20% - Accent1 11 2" xfId="21" xr:uid="{00000000-0005-0000-0000-000005000000}"/>
    <cellStyle name="20% - Accent1 11 3" xfId="22" xr:uid="{00000000-0005-0000-0000-000006000000}"/>
    <cellStyle name="20% - Accent1 11 4" xfId="23" xr:uid="{00000000-0005-0000-0000-000007000000}"/>
    <cellStyle name="20% - Accent1 12" xfId="24" xr:uid="{00000000-0005-0000-0000-000008000000}"/>
    <cellStyle name="20% - Accent1 12 2" xfId="25" xr:uid="{00000000-0005-0000-0000-000009000000}"/>
    <cellStyle name="20% - Accent1 12 3" xfId="26" xr:uid="{00000000-0005-0000-0000-00000A000000}"/>
    <cellStyle name="20% - Accent1 12 4" xfId="27" xr:uid="{00000000-0005-0000-0000-00000B000000}"/>
    <cellStyle name="20% - Accent1 13" xfId="28" xr:uid="{00000000-0005-0000-0000-00000C000000}"/>
    <cellStyle name="20% - Accent1 13 2" xfId="29" xr:uid="{00000000-0005-0000-0000-00000D000000}"/>
    <cellStyle name="20% - Accent1 13 3" xfId="30" xr:uid="{00000000-0005-0000-0000-00000E000000}"/>
    <cellStyle name="20% - Accent1 13 4" xfId="31" xr:uid="{00000000-0005-0000-0000-00000F000000}"/>
    <cellStyle name="20% - Accent1 14" xfId="32" xr:uid="{00000000-0005-0000-0000-000010000000}"/>
    <cellStyle name="20% - Accent1 15" xfId="33" xr:uid="{00000000-0005-0000-0000-000011000000}"/>
    <cellStyle name="20% - Accent1 16" xfId="34" xr:uid="{00000000-0005-0000-0000-000012000000}"/>
    <cellStyle name="20% - Accent1 17" xfId="2634" xr:uid="{00000000-0005-0000-0000-000013000000}"/>
    <cellStyle name="20% - Accent1 2" xfId="35" xr:uid="{00000000-0005-0000-0000-000014000000}"/>
    <cellStyle name="20% - Accent1 2 2" xfId="36" xr:uid="{00000000-0005-0000-0000-000015000000}"/>
    <cellStyle name="20% - Accent1 2 3" xfId="37" xr:uid="{00000000-0005-0000-0000-000016000000}"/>
    <cellStyle name="20% - Accent1 2 4" xfId="38" xr:uid="{00000000-0005-0000-0000-000017000000}"/>
    <cellStyle name="20% - Accent1 3" xfId="39" xr:uid="{00000000-0005-0000-0000-000018000000}"/>
    <cellStyle name="20% - Accent1 3 2" xfId="40" xr:uid="{00000000-0005-0000-0000-000019000000}"/>
    <cellStyle name="20% - Accent1 3 3" xfId="41" xr:uid="{00000000-0005-0000-0000-00001A000000}"/>
    <cellStyle name="20% - Accent1 3 4" xfId="42" xr:uid="{00000000-0005-0000-0000-00001B000000}"/>
    <cellStyle name="20% - Accent1 4" xfId="43" xr:uid="{00000000-0005-0000-0000-00001C000000}"/>
    <cellStyle name="20% - Accent1 4 2" xfId="44" xr:uid="{00000000-0005-0000-0000-00001D000000}"/>
    <cellStyle name="20% - Accent1 4 3" xfId="45" xr:uid="{00000000-0005-0000-0000-00001E000000}"/>
    <cellStyle name="20% - Accent1 4 4" xfId="46" xr:uid="{00000000-0005-0000-0000-00001F000000}"/>
    <cellStyle name="20% - Accent1 5" xfId="47" xr:uid="{00000000-0005-0000-0000-000020000000}"/>
    <cellStyle name="20% - Accent1 5 2" xfId="48" xr:uid="{00000000-0005-0000-0000-000021000000}"/>
    <cellStyle name="20% - Accent1 5 3" xfId="49" xr:uid="{00000000-0005-0000-0000-000022000000}"/>
    <cellStyle name="20% - Accent1 5 4" xfId="50" xr:uid="{00000000-0005-0000-0000-000023000000}"/>
    <cellStyle name="20% - Accent1 6" xfId="51" xr:uid="{00000000-0005-0000-0000-000024000000}"/>
    <cellStyle name="20% - Accent1 6 2" xfId="52" xr:uid="{00000000-0005-0000-0000-000025000000}"/>
    <cellStyle name="20% - Accent1 6 3" xfId="53" xr:uid="{00000000-0005-0000-0000-000026000000}"/>
    <cellStyle name="20% - Accent1 6 4" xfId="54" xr:uid="{00000000-0005-0000-0000-000027000000}"/>
    <cellStyle name="20% - Accent1 7" xfId="55" xr:uid="{00000000-0005-0000-0000-000028000000}"/>
    <cellStyle name="20% - Accent1 7 2" xfId="56" xr:uid="{00000000-0005-0000-0000-000029000000}"/>
    <cellStyle name="20% - Accent1 7 3" xfId="57" xr:uid="{00000000-0005-0000-0000-00002A000000}"/>
    <cellStyle name="20% - Accent1 7 4" xfId="58" xr:uid="{00000000-0005-0000-0000-00002B000000}"/>
    <cellStyle name="20% - Accent1 8" xfId="59" xr:uid="{00000000-0005-0000-0000-00002C000000}"/>
    <cellStyle name="20% - Accent1 8 2" xfId="60" xr:uid="{00000000-0005-0000-0000-00002D000000}"/>
    <cellStyle name="20% - Accent1 8 3" xfId="61" xr:uid="{00000000-0005-0000-0000-00002E000000}"/>
    <cellStyle name="20% - Accent1 8 4" xfId="62" xr:uid="{00000000-0005-0000-0000-00002F000000}"/>
    <cellStyle name="20% - Accent1 9" xfId="63" xr:uid="{00000000-0005-0000-0000-000030000000}"/>
    <cellStyle name="20% - Accent1 9 2" xfId="64" xr:uid="{00000000-0005-0000-0000-000031000000}"/>
    <cellStyle name="20% - Accent1 9 3" xfId="65" xr:uid="{00000000-0005-0000-0000-000032000000}"/>
    <cellStyle name="20% - Accent1 9 4" xfId="66" xr:uid="{00000000-0005-0000-0000-000033000000}"/>
    <cellStyle name="20% - Accent2 10" xfId="67" xr:uid="{00000000-0005-0000-0000-000034000000}"/>
    <cellStyle name="20% - Accent2 10 2" xfId="68" xr:uid="{00000000-0005-0000-0000-000035000000}"/>
    <cellStyle name="20% - Accent2 10 3" xfId="69" xr:uid="{00000000-0005-0000-0000-000036000000}"/>
    <cellStyle name="20% - Accent2 10 4" xfId="70" xr:uid="{00000000-0005-0000-0000-000037000000}"/>
    <cellStyle name="20% - Accent2 11" xfId="71" xr:uid="{00000000-0005-0000-0000-000038000000}"/>
    <cellStyle name="20% - Accent2 11 2" xfId="72" xr:uid="{00000000-0005-0000-0000-000039000000}"/>
    <cellStyle name="20% - Accent2 11 3" xfId="73" xr:uid="{00000000-0005-0000-0000-00003A000000}"/>
    <cellStyle name="20% - Accent2 11 4" xfId="74" xr:uid="{00000000-0005-0000-0000-00003B000000}"/>
    <cellStyle name="20% - Accent2 12" xfId="75" xr:uid="{00000000-0005-0000-0000-00003C000000}"/>
    <cellStyle name="20% - Accent2 12 2" xfId="76" xr:uid="{00000000-0005-0000-0000-00003D000000}"/>
    <cellStyle name="20% - Accent2 12 3" xfId="77" xr:uid="{00000000-0005-0000-0000-00003E000000}"/>
    <cellStyle name="20% - Accent2 12 4" xfId="78" xr:uid="{00000000-0005-0000-0000-00003F000000}"/>
    <cellStyle name="20% - Accent2 13" xfId="79" xr:uid="{00000000-0005-0000-0000-000040000000}"/>
    <cellStyle name="20% - Accent2 13 2" xfId="80" xr:uid="{00000000-0005-0000-0000-000041000000}"/>
    <cellStyle name="20% - Accent2 13 3" xfId="81" xr:uid="{00000000-0005-0000-0000-000042000000}"/>
    <cellStyle name="20% - Accent2 13 4" xfId="82" xr:uid="{00000000-0005-0000-0000-000043000000}"/>
    <cellStyle name="20% - Accent2 14" xfId="83" xr:uid="{00000000-0005-0000-0000-000044000000}"/>
    <cellStyle name="20% - Accent2 15" xfId="84" xr:uid="{00000000-0005-0000-0000-000045000000}"/>
    <cellStyle name="20% - Accent2 16" xfId="85" xr:uid="{00000000-0005-0000-0000-000046000000}"/>
    <cellStyle name="20% - Accent2 17" xfId="2626" xr:uid="{00000000-0005-0000-0000-000047000000}"/>
    <cellStyle name="20% - Accent2 2" xfId="86" xr:uid="{00000000-0005-0000-0000-000048000000}"/>
    <cellStyle name="20% - Accent2 2 2" xfId="87" xr:uid="{00000000-0005-0000-0000-000049000000}"/>
    <cellStyle name="20% - Accent2 2 3" xfId="88" xr:uid="{00000000-0005-0000-0000-00004A000000}"/>
    <cellStyle name="20% - Accent2 2 4" xfId="89" xr:uid="{00000000-0005-0000-0000-00004B000000}"/>
    <cellStyle name="20% - Accent2 3" xfId="90" xr:uid="{00000000-0005-0000-0000-00004C000000}"/>
    <cellStyle name="20% - Accent2 3 2" xfId="91" xr:uid="{00000000-0005-0000-0000-00004D000000}"/>
    <cellStyle name="20% - Accent2 3 3" xfId="92" xr:uid="{00000000-0005-0000-0000-00004E000000}"/>
    <cellStyle name="20% - Accent2 3 4" xfId="93" xr:uid="{00000000-0005-0000-0000-00004F000000}"/>
    <cellStyle name="20% - Accent2 4" xfId="94" xr:uid="{00000000-0005-0000-0000-000050000000}"/>
    <cellStyle name="20% - Accent2 4 2" xfId="95" xr:uid="{00000000-0005-0000-0000-000051000000}"/>
    <cellStyle name="20% - Accent2 4 3" xfId="96" xr:uid="{00000000-0005-0000-0000-000052000000}"/>
    <cellStyle name="20% - Accent2 4 4" xfId="97" xr:uid="{00000000-0005-0000-0000-000053000000}"/>
    <cellStyle name="20% - Accent2 5" xfId="98" xr:uid="{00000000-0005-0000-0000-000054000000}"/>
    <cellStyle name="20% - Accent2 5 2" xfId="99" xr:uid="{00000000-0005-0000-0000-000055000000}"/>
    <cellStyle name="20% - Accent2 5 3" xfId="100" xr:uid="{00000000-0005-0000-0000-000056000000}"/>
    <cellStyle name="20% - Accent2 5 4" xfId="101" xr:uid="{00000000-0005-0000-0000-000057000000}"/>
    <cellStyle name="20% - Accent2 6" xfId="102" xr:uid="{00000000-0005-0000-0000-000058000000}"/>
    <cellStyle name="20% - Accent2 6 2" xfId="103" xr:uid="{00000000-0005-0000-0000-000059000000}"/>
    <cellStyle name="20% - Accent2 6 3" xfId="104" xr:uid="{00000000-0005-0000-0000-00005A000000}"/>
    <cellStyle name="20% - Accent2 6 4" xfId="105" xr:uid="{00000000-0005-0000-0000-00005B000000}"/>
    <cellStyle name="20% - Accent2 7" xfId="106" xr:uid="{00000000-0005-0000-0000-00005C000000}"/>
    <cellStyle name="20% - Accent2 7 2" xfId="107" xr:uid="{00000000-0005-0000-0000-00005D000000}"/>
    <cellStyle name="20% - Accent2 7 3" xfId="108" xr:uid="{00000000-0005-0000-0000-00005E000000}"/>
    <cellStyle name="20% - Accent2 7 4" xfId="109" xr:uid="{00000000-0005-0000-0000-00005F000000}"/>
    <cellStyle name="20% - Accent2 8" xfId="110" xr:uid="{00000000-0005-0000-0000-000060000000}"/>
    <cellStyle name="20% - Accent2 8 2" xfId="111" xr:uid="{00000000-0005-0000-0000-000061000000}"/>
    <cellStyle name="20% - Accent2 8 3" xfId="112" xr:uid="{00000000-0005-0000-0000-000062000000}"/>
    <cellStyle name="20% - Accent2 8 4" xfId="113" xr:uid="{00000000-0005-0000-0000-000063000000}"/>
    <cellStyle name="20% - Accent2 9" xfId="114" xr:uid="{00000000-0005-0000-0000-000064000000}"/>
    <cellStyle name="20% - Accent2 9 2" xfId="115" xr:uid="{00000000-0005-0000-0000-000065000000}"/>
    <cellStyle name="20% - Accent2 9 3" xfId="116" xr:uid="{00000000-0005-0000-0000-000066000000}"/>
    <cellStyle name="20% - Accent2 9 4" xfId="117" xr:uid="{00000000-0005-0000-0000-000067000000}"/>
    <cellStyle name="20% - Accent3 10" xfId="118" xr:uid="{00000000-0005-0000-0000-000068000000}"/>
    <cellStyle name="20% - Accent3 10 2" xfId="119" xr:uid="{00000000-0005-0000-0000-000069000000}"/>
    <cellStyle name="20% - Accent3 10 3" xfId="120" xr:uid="{00000000-0005-0000-0000-00006A000000}"/>
    <cellStyle name="20% - Accent3 10 4" xfId="121" xr:uid="{00000000-0005-0000-0000-00006B000000}"/>
    <cellStyle name="20% - Accent3 11" xfId="122" xr:uid="{00000000-0005-0000-0000-00006C000000}"/>
    <cellStyle name="20% - Accent3 11 2" xfId="123" xr:uid="{00000000-0005-0000-0000-00006D000000}"/>
    <cellStyle name="20% - Accent3 11 3" xfId="124" xr:uid="{00000000-0005-0000-0000-00006E000000}"/>
    <cellStyle name="20% - Accent3 11 4" xfId="125" xr:uid="{00000000-0005-0000-0000-00006F000000}"/>
    <cellStyle name="20% - Accent3 12" xfId="126" xr:uid="{00000000-0005-0000-0000-000070000000}"/>
    <cellStyle name="20% - Accent3 12 2" xfId="127" xr:uid="{00000000-0005-0000-0000-000071000000}"/>
    <cellStyle name="20% - Accent3 12 3" xfId="128" xr:uid="{00000000-0005-0000-0000-000072000000}"/>
    <cellStyle name="20% - Accent3 12 4" xfId="129" xr:uid="{00000000-0005-0000-0000-000073000000}"/>
    <cellStyle name="20% - Accent3 13" xfId="130" xr:uid="{00000000-0005-0000-0000-000074000000}"/>
    <cellStyle name="20% - Accent3 13 2" xfId="131" xr:uid="{00000000-0005-0000-0000-000075000000}"/>
    <cellStyle name="20% - Accent3 13 3" xfId="132" xr:uid="{00000000-0005-0000-0000-000076000000}"/>
    <cellStyle name="20% - Accent3 13 4" xfId="133" xr:uid="{00000000-0005-0000-0000-000077000000}"/>
    <cellStyle name="20% - Accent3 14" xfId="134" xr:uid="{00000000-0005-0000-0000-000078000000}"/>
    <cellStyle name="20% - Accent3 15" xfId="135" xr:uid="{00000000-0005-0000-0000-000079000000}"/>
    <cellStyle name="20% - Accent3 16" xfId="136" xr:uid="{00000000-0005-0000-0000-00007A000000}"/>
    <cellStyle name="20% - Accent3 17" xfId="2619" xr:uid="{00000000-0005-0000-0000-00007B000000}"/>
    <cellStyle name="20% - Accent3 2" xfId="137" xr:uid="{00000000-0005-0000-0000-00007C000000}"/>
    <cellStyle name="20% - Accent3 2 2" xfId="138" xr:uid="{00000000-0005-0000-0000-00007D000000}"/>
    <cellStyle name="20% - Accent3 2 3" xfId="139" xr:uid="{00000000-0005-0000-0000-00007E000000}"/>
    <cellStyle name="20% - Accent3 2 4" xfId="140" xr:uid="{00000000-0005-0000-0000-00007F000000}"/>
    <cellStyle name="20% - Accent3 3" xfId="141" xr:uid="{00000000-0005-0000-0000-000080000000}"/>
    <cellStyle name="20% - Accent3 3 2" xfId="142" xr:uid="{00000000-0005-0000-0000-000081000000}"/>
    <cellStyle name="20% - Accent3 3 3" xfId="143" xr:uid="{00000000-0005-0000-0000-000082000000}"/>
    <cellStyle name="20% - Accent3 3 4" xfId="144" xr:uid="{00000000-0005-0000-0000-000083000000}"/>
    <cellStyle name="20% - Accent3 4" xfId="145" xr:uid="{00000000-0005-0000-0000-000084000000}"/>
    <cellStyle name="20% - Accent3 4 2" xfId="146" xr:uid="{00000000-0005-0000-0000-000085000000}"/>
    <cellStyle name="20% - Accent3 4 3" xfId="147" xr:uid="{00000000-0005-0000-0000-000086000000}"/>
    <cellStyle name="20% - Accent3 4 4" xfId="148" xr:uid="{00000000-0005-0000-0000-000087000000}"/>
    <cellStyle name="20% - Accent3 5" xfId="149" xr:uid="{00000000-0005-0000-0000-000088000000}"/>
    <cellStyle name="20% - Accent3 5 2" xfId="150" xr:uid="{00000000-0005-0000-0000-000089000000}"/>
    <cellStyle name="20% - Accent3 5 3" xfId="151" xr:uid="{00000000-0005-0000-0000-00008A000000}"/>
    <cellStyle name="20% - Accent3 5 4" xfId="152" xr:uid="{00000000-0005-0000-0000-00008B000000}"/>
    <cellStyle name="20% - Accent3 6" xfId="153" xr:uid="{00000000-0005-0000-0000-00008C000000}"/>
    <cellStyle name="20% - Accent3 6 2" xfId="154" xr:uid="{00000000-0005-0000-0000-00008D000000}"/>
    <cellStyle name="20% - Accent3 6 3" xfId="155" xr:uid="{00000000-0005-0000-0000-00008E000000}"/>
    <cellStyle name="20% - Accent3 6 4" xfId="156" xr:uid="{00000000-0005-0000-0000-00008F000000}"/>
    <cellStyle name="20% - Accent3 7" xfId="157" xr:uid="{00000000-0005-0000-0000-000090000000}"/>
    <cellStyle name="20% - Accent3 7 2" xfId="158" xr:uid="{00000000-0005-0000-0000-000091000000}"/>
    <cellStyle name="20% - Accent3 7 3" xfId="159" xr:uid="{00000000-0005-0000-0000-000092000000}"/>
    <cellStyle name="20% - Accent3 7 4" xfId="160" xr:uid="{00000000-0005-0000-0000-000093000000}"/>
    <cellStyle name="20% - Accent3 8" xfId="161" xr:uid="{00000000-0005-0000-0000-000094000000}"/>
    <cellStyle name="20% - Accent3 8 2" xfId="162" xr:uid="{00000000-0005-0000-0000-000095000000}"/>
    <cellStyle name="20% - Accent3 8 3" xfId="163" xr:uid="{00000000-0005-0000-0000-000096000000}"/>
    <cellStyle name="20% - Accent3 8 4" xfId="164" xr:uid="{00000000-0005-0000-0000-000097000000}"/>
    <cellStyle name="20% - Accent3 9" xfId="165" xr:uid="{00000000-0005-0000-0000-000098000000}"/>
    <cellStyle name="20% - Accent3 9 2" xfId="166" xr:uid="{00000000-0005-0000-0000-000099000000}"/>
    <cellStyle name="20% - Accent3 9 3" xfId="167" xr:uid="{00000000-0005-0000-0000-00009A000000}"/>
    <cellStyle name="20% - Accent3 9 4" xfId="168" xr:uid="{00000000-0005-0000-0000-00009B000000}"/>
    <cellStyle name="20% - Accent4 10" xfId="169" xr:uid="{00000000-0005-0000-0000-00009C000000}"/>
    <cellStyle name="20% - Accent4 10 2" xfId="170" xr:uid="{00000000-0005-0000-0000-00009D000000}"/>
    <cellStyle name="20% - Accent4 10 3" xfId="171" xr:uid="{00000000-0005-0000-0000-00009E000000}"/>
    <cellStyle name="20% - Accent4 10 4" xfId="172" xr:uid="{00000000-0005-0000-0000-00009F000000}"/>
    <cellStyle name="20% - Accent4 11" xfId="173" xr:uid="{00000000-0005-0000-0000-0000A0000000}"/>
    <cellStyle name="20% - Accent4 11 2" xfId="174" xr:uid="{00000000-0005-0000-0000-0000A1000000}"/>
    <cellStyle name="20% - Accent4 11 3" xfId="175" xr:uid="{00000000-0005-0000-0000-0000A2000000}"/>
    <cellStyle name="20% - Accent4 11 4" xfId="176" xr:uid="{00000000-0005-0000-0000-0000A3000000}"/>
    <cellStyle name="20% - Accent4 12" xfId="177" xr:uid="{00000000-0005-0000-0000-0000A4000000}"/>
    <cellStyle name="20% - Accent4 12 2" xfId="178" xr:uid="{00000000-0005-0000-0000-0000A5000000}"/>
    <cellStyle name="20% - Accent4 12 3" xfId="179" xr:uid="{00000000-0005-0000-0000-0000A6000000}"/>
    <cellStyle name="20% - Accent4 12 4" xfId="180" xr:uid="{00000000-0005-0000-0000-0000A7000000}"/>
    <cellStyle name="20% - Accent4 13" xfId="181" xr:uid="{00000000-0005-0000-0000-0000A8000000}"/>
    <cellStyle name="20% - Accent4 13 2" xfId="182" xr:uid="{00000000-0005-0000-0000-0000A9000000}"/>
    <cellStyle name="20% - Accent4 13 3" xfId="183" xr:uid="{00000000-0005-0000-0000-0000AA000000}"/>
    <cellStyle name="20% - Accent4 13 4" xfId="184" xr:uid="{00000000-0005-0000-0000-0000AB000000}"/>
    <cellStyle name="20% - Accent4 14" xfId="185" xr:uid="{00000000-0005-0000-0000-0000AC000000}"/>
    <cellStyle name="20% - Accent4 15" xfId="186" xr:uid="{00000000-0005-0000-0000-0000AD000000}"/>
    <cellStyle name="20% - Accent4 16" xfId="187" xr:uid="{00000000-0005-0000-0000-0000AE000000}"/>
    <cellStyle name="20% - Accent4 17" xfId="2640" xr:uid="{00000000-0005-0000-0000-0000AF000000}"/>
    <cellStyle name="20% - Accent4 2" xfId="188" xr:uid="{00000000-0005-0000-0000-0000B0000000}"/>
    <cellStyle name="20% - Accent4 2 2" xfId="189" xr:uid="{00000000-0005-0000-0000-0000B1000000}"/>
    <cellStyle name="20% - Accent4 2 3" xfId="190" xr:uid="{00000000-0005-0000-0000-0000B2000000}"/>
    <cellStyle name="20% - Accent4 2 4" xfId="191" xr:uid="{00000000-0005-0000-0000-0000B3000000}"/>
    <cellStyle name="20% - Accent4 3" xfId="192" xr:uid="{00000000-0005-0000-0000-0000B4000000}"/>
    <cellStyle name="20% - Accent4 3 2" xfId="193" xr:uid="{00000000-0005-0000-0000-0000B5000000}"/>
    <cellStyle name="20% - Accent4 3 3" xfId="194" xr:uid="{00000000-0005-0000-0000-0000B6000000}"/>
    <cellStyle name="20% - Accent4 3 4" xfId="195" xr:uid="{00000000-0005-0000-0000-0000B7000000}"/>
    <cellStyle name="20% - Accent4 4" xfId="196" xr:uid="{00000000-0005-0000-0000-0000B8000000}"/>
    <cellStyle name="20% - Accent4 4 2" xfId="197" xr:uid="{00000000-0005-0000-0000-0000B9000000}"/>
    <cellStyle name="20% - Accent4 4 3" xfId="198" xr:uid="{00000000-0005-0000-0000-0000BA000000}"/>
    <cellStyle name="20% - Accent4 4 4" xfId="199" xr:uid="{00000000-0005-0000-0000-0000BB000000}"/>
    <cellStyle name="20% - Accent4 5" xfId="200" xr:uid="{00000000-0005-0000-0000-0000BC000000}"/>
    <cellStyle name="20% - Accent4 5 2" xfId="201" xr:uid="{00000000-0005-0000-0000-0000BD000000}"/>
    <cellStyle name="20% - Accent4 5 3" xfId="202" xr:uid="{00000000-0005-0000-0000-0000BE000000}"/>
    <cellStyle name="20% - Accent4 5 4" xfId="203" xr:uid="{00000000-0005-0000-0000-0000BF000000}"/>
    <cellStyle name="20% - Accent4 6" xfId="204" xr:uid="{00000000-0005-0000-0000-0000C0000000}"/>
    <cellStyle name="20% - Accent4 6 2" xfId="205" xr:uid="{00000000-0005-0000-0000-0000C1000000}"/>
    <cellStyle name="20% - Accent4 6 3" xfId="206" xr:uid="{00000000-0005-0000-0000-0000C2000000}"/>
    <cellStyle name="20% - Accent4 6 4" xfId="207" xr:uid="{00000000-0005-0000-0000-0000C3000000}"/>
    <cellStyle name="20% - Accent4 7" xfId="208" xr:uid="{00000000-0005-0000-0000-0000C4000000}"/>
    <cellStyle name="20% - Accent4 7 2" xfId="209" xr:uid="{00000000-0005-0000-0000-0000C5000000}"/>
    <cellStyle name="20% - Accent4 7 3" xfId="210" xr:uid="{00000000-0005-0000-0000-0000C6000000}"/>
    <cellStyle name="20% - Accent4 7 4" xfId="211" xr:uid="{00000000-0005-0000-0000-0000C7000000}"/>
    <cellStyle name="20% - Accent4 8" xfId="212" xr:uid="{00000000-0005-0000-0000-0000C8000000}"/>
    <cellStyle name="20% - Accent4 8 2" xfId="213" xr:uid="{00000000-0005-0000-0000-0000C9000000}"/>
    <cellStyle name="20% - Accent4 8 3" xfId="214" xr:uid="{00000000-0005-0000-0000-0000CA000000}"/>
    <cellStyle name="20% - Accent4 8 4" xfId="215" xr:uid="{00000000-0005-0000-0000-0000CB000000}"/>
    <cellStyle name="20% - Accent4 9" xfId="216" xr:uid="{00000000-0005-0000-0000-0000CC000000}"/>
    <cellStyle name="20% - Accent4 9 2" xfId="217" xr:uid="{00000000-0005-0000-0000-0000CD000000}"/>
    <cellStyle name="20% - Accent4 9 3" xfId="218" xr:uid="{00000000-0005-0000-0000-0000CE000000}"/>
    <cellStyle name="20% - Accent4 9 4" xfId="219" xr:uid="{00000000-0005-0000-0000-0000CF000000}"/>
    <cellStyle name="20% - Accent5 10" xfId="220" xr:uid="{00000000-0005-0000-0000-0000D0000000}"/>
    <cellStyle name="20% - Accent5 10 2" xfId="221" xr:uid="{00000000-0005-0000-0000-0000D1000000}"/>
    <cellStyle name="20% - Accent5 10 3" xfId="222" xr:uid="{00000000-0005-0000-0000-0000D2000000}"/>
    <cellStyle name="20% - Accent5 10 4" xfId="223" xr:uid="{00000000-0005-0000-0000-0000D3000000}"/>
    <cellStyle name="20% - Accent5 11" xfId="224" xr:uid="{00000000-0005-0000-0000-0000D4000000}"/>
    <cellStyle name="20% - Accent5 11 2" xfId="225" xr:uid="{00000000-0005-0000-0000-0000D5000000}"/>
    <cellStyle name="20% - Accent5 11 3" xfId="226" xr:uid="{00000000-0005-0000-0000-0000D6000000}"/>
    <cellStyle name="20% - Accent5 11 4" xfId="227" xr:uid="{00000000-0005-0000-0000-0000D7000000}"/>
    <cellStyle name="20% - Accent5 12" xfId="228" xr:uid="{00000000-0005-0000-0000-0000D8000000}"/>
    <cellStyle name="20% - Accent5 12 2" xfId="229" xr:uid="{00000000-0005-0000-0000-0000D9000000}"/>
    <cellStyle name="20% - Accent5 12 3" xfId="230" xr:uid="{00000000-0005-0000-0000-0000DA000000}"/>
    <cellStyle name="20% - Accent5 12 4" xfId="231" xr:uid="{00000000-0005-0000-0000-0000DB000000}"/>
    <cellStyle name="20% - Accent5 13" xfId="232" xr:uid="{00000000-0005-0000-0000-0000DC000000}"/>
    <cellStyle name="20% - Accent5 13 2" xfId="233" xr:uid="{00000000-0005-0000-0000-0000DD000000}"/>
    <cellStyle name="20% - Accent5 13 3" xfId="234" xr:uid="{00000000-0005-0000-0000-0000DE000000}"/>
    <cellStyle name="20% - Accent5 13 4" xfId="235" xr:uid="{00000000-0005-0000-0000-0000DF000000}"/>
    <cellStyle name="20% - Accent5 14" xfId="236" xr:uid="{00000000-0005-0000-0000-0000E0000000}"/>
    <cellStyle name="20% - Accent5 15" xfId="237" xr:uid="{00000000-0005-0000-0000-0000E1000000}"/>
    <cellStyle name="20% - Accent5 16" xfId="238" xr:uid="{00000000-0005-0000-0000-0000E2000000}"/>
    <cellStyle name="20% - Accent5 17" xfId="2632" xr:uid="{00000000-0005-0000-0000-0000E3000000}"/>
    <cellStyle name="20% - Accent5 2" xfId="239" xr:uid="{00000000-0005-0000-0000-0000E4000000}"/>
    <cellStyle name="20% - Accent5 2 2" xfId="240" xr:uid="{00000000-0005-0000-0000-0000E5000000}"/>
    <cellStyle name="20% - Accent5 2 3" xfId="241" xr:uid="{00000000-0005-0000-0000-0000E6000000}"/>
    <cellStyle name="20% - Accent5 2 4" xfId="242" xr:uid="{00000000-0005-0000-0000-0000E7000000}"/>
    <cellStyle name="20% - Accent5 3" xfId="243" xr:uid="{00000000-0005-0000-0000-0000E8000000}"/>
    <cellStyle name="20% - Accent5 3 2" xfId="244" xr:uid="{00000000-0005-0000-0000-0000E9000000}"/>
    <cellStyle name="20% - Accent5 3 3" xfId="245" xr:uid="{00000000-0005-0000-0000-0000EA000000}"/>
    <cellStyle name="20% - Accent5 3 4" xfId="246" xr:uid="{00000000-0005-0000-0000-0000EB000000}"/>
    <cellStyle name="20% - Accent5 4" xfId="247" xr:uid="{00000000-0005-0000-0000-0000EC000000}"/>
    <cellStyle name="20% - Accent5 4 2" xfId="248" xr:uid="{00000000-0005-0000-0000-0000ED000000}"/>
    <cellStyle name="20% - Accent5 4 3" xfId="249" xr:uid="{00000000-0005-0000-0000-0000EE000000}"/>
    <cellStyle name="20% - Accent5 4 4" xfId="250" xr:uid="{00000000-0005-0000-0000-0000EF000000}"/>
    <cellStyle name="20% - Accent5 5" xfId="251" xr:uid="{00000000-0005-0000-0000-0000F0000000}"/>
    <cellStyle name="20% - Accent5 5 2" xfId="252" xr:uid="{00000000-0005-0000-0000-0000F1000000}"/>
    <cellStyle name="20% - Accent5 5 3" xfId="253" xr:uid="{00000000-0005-0000-0000-0000F2000000}"/>
    <cellStyle name="20% - Accent5 5 4" xfId="254" xr:uid="{00000000-0005-0000-0000-0000F3000000}"/>
    <cellStyle name="20% - Accent5 6" xfId="255" xr:uid="{00000000-0005-0000-0000-0000F4000000}"/>
    <cellStyle name="20% - Accent5 6 2" xfId="256" xr:uid="{00000000-0005-0000-0000-0000F5000000}"/>
    <cellStyle name="20% - Accent5 6 3" xfId="257" xr:uid="{00000000-0005-0000-0000-0000F6000000}"/>
    <cellStyle name="20% - Accent5 6 4" xfId="258" xr:uid="{00000000-0005-0000-0000-0000F7000000}"/>
    <cellStyle name="20% - Accent5 7" xfId="259" xr:uid="{00000000-0005-0000-0000-0000F8000000}"/>
    <cellStyle name="20% - Accent5 7 2" xfId="260" xr:uid="{00000000-0005-0000-0000-0000F9000000}"/>
    <cellStyle name="20% - Accent5 7 3" xfId="261" xr:uid="{00000000-0005-0000-0000-0000FA000000}"/>
    <cellStyle name="20% - Accent5 7 4" xfId="262" xr:uid="{00000000-0005-0000-0000-0000FB000000}"/>
    <cellStyle name="20% - Accent5 8" xfId="263" xr:uid="{00000000-0005-0000-0000-0000FC000000}"/>
    <cellStyle name="20% - Accent5 8 2" xfId="264" xr:uid="{00000000-0005-0000-0000-0000FD000000}"/>
    <cellStyle name="20% - Accent5 8 3" xfId="265" xr:uid="{00000000-0005-0000-0000-0000FE000000}"/>
    <cellStyle name="20% - Accent5 8 4" xfId="266" xr:uid="{00000000-0005-0000-0000-0000FF000000}"/>
    <cellStyle name="20% - Accent5 9" xfId="267" xr:uid="{00000000-0005-0000-0000-000000010000}"/>
    <cellStyle name="20% - Accent5 9 2" xfId="268" xr:uid="{00000000-0005-0000-0000-000001010000}"/>
    <cellStyle name="20% - Accent5 9 3" xfId="269" xr:uid="{00000000-0005-0000-0000-000002010000}"/>
    <cellStyle name="20% - Accent5 9 4" xfId="270" xr:uid="{00000000-0005-0000-0000-000003010000}"/>
    <cellStyle name="20% - Accent6 10" xfId="271" xr:uid="{00000000-0005-0000-0000-000004010000}"/>
    <cellStyle name="20% - Accent6 10 2" xfId="272" xr:uid="{00000000-0005-0000-0000-000005010000}"/>
    <cellStyle name="20% - Accent6 10 3" xfId="273" xr:uid="{00000000-0005-0000-0000-000006010000}"/>
    <cellStyle name="20% - Accent6 10 4" xfId="274" xr:uid="{00000000-0005-0000-0000-000007010000}"/>
    <cellStyle name="20% - Accent6 11" xfId="275" xr:uid="{00000000-0005-0000-0000-000008010000}"/>
    <cellStyle name="20% - Accent6 11 2" xfId="276" xr:uid="{00000000-0005-0000-0000-000009010000}"/>
    <cellStyle name="20% - Accent6 11 3" xfId="277" xr:uid="{00000000-0005-0000-0000-00000A010000}"/>
    <cellStyle name="20% - Accent6 11 4" xfId="278" xr:uid="{00000000-0005-0000-0000-00000B010000}"/>
    <cellStyle name="20% - Accent6 12" xfId="279" xr:uid="{00000000-0005-0000-0000-00000C010000}"/>
    <cellStyle name="20% - Accent6 12 2" xfId="280" xr:uid="{00000000-0005-0000-0000-00000D010000}"/>
    <cellStyle name="20% - Accent6 12 3" xfId="281" xr:uid="{00000000-0005-0000-0000-00000E010000}"/>
    <cellStyle name="20% - Accent6 12 4" xfId="282" xr:uid="{00000000-0005-0000-0000-00000F010000}"/>
    <cellStyle name="20% - Accent6 13" xfId="283" xr:uid="{00000000-0005-0000-0000-000010010000}"/>
    <cellStyle name="20% - Accent6 13 2" xfId="284" xr:uid="{00000000-0005-0000-0000-000011010000}"/>
    <cellStyle name="20% - Accent6 13 3" xfId="285" xr:uid="{00000000-0005-0000-0000-000012010000}"/>
    <cellStyle name="20% - Accent6 13 4" xfId="286" xr:uid="{00000000-0005-0000-0000-000013010000}"/>
    <cellStyle name="20% - Accent6 14" xfId="287" xr:uid="{00000000-0005-0000-0000-000014010000}"/>
    <cellStyle name="20% - Accent6 15" xfId="288" xr:uid="{00000000-0005-0000-0000-000015010000}"/>
    <cellStyle name="20% - Accent6 16" xfId="289" xr:uid="{00000000-0005-0000-0000-000016010000}"/>
    <cellStyle name="20% - Accent6 17" xfId="2624" xr:uid="{00000000-0005-0000-0000-000017010000}"/>
    <cellStyle name="20% - Accent6 2" xfId="290" xr:uid="{00000000-0005-0000-0000-000018010000}"/>
    <cellStyle name="20% - Accent6 2 2" xfId="291" xr:uid="{00000000-0005-0000-0000-000019010000}"/>
    <cellStyle name="20% - Accent6 2 3" xfId="292" xr:uid="{00000000-0005-0000-0000-00001A010000}"/>
    <cellStyle name="20% - Accent6 2 4" xfId="293" xr:uid="{00000000-0005-0000-0000-00001B010000}"/>
    <cellStyle name="20% - Accent6 3" xfId="294" xr:uid="{00000000-0005-0000-0000-00001C010000}"/>
    <cellStyle name="20% - Accent6 3 2" xfId="295" xr:uid="{00000000-0005-0000-0000-00001D010000}"/>
    <cellStyle name="20% - Accent6 3 3" xfId="296" xr:uid="{00000000-0005-0000-0000-00001E010000}"/>
    <cellStyle name="20% - Accent6 3 4" xfId="297" xr:uid="{00000000-0005-0000-0000-00001F010000}"/>
    <cellStyle name="20% - Accent6 4" xfId="298" xr:uid="{00000000-0005-0000-0000-000020010000}"/>
    <cellStyle name="20% - Accent6 4 2" xfId="299" xr:uid="{00000000-0005-0000-0000-000021010000}"/>
    <cellStyle name="20% - Accent6 4 3" xfId="300" xr:uid="{00000000-0005-0000-0000-000022010000}"/>
    <cellStyle name="20% - Accent6 4 4" xfId="301" xr:uid="{00000000-0005-0000-0000-000023010000}"/>
    <cellStyle name="20% - Accent6 5" xfId="302" xr:uid="{00000000-0005-0000-0000-000024010000}"/>
    <cellStyle name="20% - Accent6 5 2" xfId="303" xr:uid="{00000000-0005-0000-0000-000025010000}"/>
    <cellStyle name="20% - Accent6 5 3" xfId="304" xr:uid="{00000000-0005-0000-0000-000026010000}"/>
    <cellStyle name="20% - Accent6 5 4" xfId="305" xr:uid="{00000000-0005-0000-0000-000027010000}"/>
    <cellStyle name="20% - Accent6 6" xfId="306" xr:uid="{00000000-0005-0000-0000-000028010000}"/>
    <cellStyle name="20% - Accent6 6 2" xfId="307" xr:uid="{00000000-0005-0000-0000-000029010000}"/>
    <cellStyle name="20% - Accent6 6 3" xfId="308" xr:uid="{00000000-0005-0000-0000-00002A010000}"/>
    <cellStyle name="20% - Accent6 6 4" xfId="309" xr:uid="{00000000-0005-0000-0000-00002B010000}"/>
    <cellStyle name="20% - Accent6 7" xfId="310" xr:uid="{00000000-0005-0000-0000-00002C010000}"/>
    <cellStyle name="20% - Accent6 7 2" xfId="311" xr:uid="{00000000-0005-0000-0000-00002D010000}"/>
    <cellStyle name="20% - Accent6 7 3" xfId="312" xr:uid="{00000000-0005-0000-0000-00002E010000}"/>
    <cellStyle name="20% - Accent6 7 4" xfId="313" xr:uid="{00000000-0005-0000-0000-00002F010000}"/>
    <cellStyle name="20% - Accent6 8" xfId="314" xr:uid="{00000000-0005-0000-0000-000030010000}"/>
    <cellStyle name="20% - Accent6 8 2" xfId="315" xr:uid="{00000000-0005-0000-0000-000031010000}"/>
    <cellStyle name="20% - Accent6 8 3" xfId="316" xr:uid="{00000000-0005-0000-0000-000032010000}"/>
    <cellStyle name="20% - Accent6 8 4" xfId="317" xr:uid="{00000000-0005-0000-0000-000033010000}"/>
    <cellStyle name="20% - Accent6 9" xfId="318" xr:uid="{00000000-0005-0000-0000-000034010000}"/>
    <cellStyle name="20% - Accent6 9 2" xfId="319" xr:uid="{00000000-0005-0000-0000-000035010000}"/>
    <cellStyle name="20% - Accent6 9 3" xfId="320" xr:uid="{00000000-0005-0000-0000-000036010000}"/>
    <cellStyle name="20% - Accent6 9 4" xfId="321" xr:uid="{00000000-0005-0000-0000-000037010000}"/>
    <cellStyle name="40% - Accent1 10" xfId="322" xr:uid="{00000000-0005-0000-0000-000038010000}"/>
    <cellStyle name="40% - Accent1 10 2" xfId="323" xr:uid="{00000000-0005-0000-0000-000039010000}"/>
    <cellStyle name="40% - Accent1 10 3" xfId="324" xr:uid="{00000000-0005-0000-0000-00003A010000}"/>
    <cellStyle name="40% - Accent1 10 4" xfId="325" xr:uid="{00000000-0005-0000-0000-00003B010000}"/>
    <cellStyle name="40% - Accent1 11" xfId="326" xr:uid="{00000000-0005-0000-0000-00003C010000}"/>
    <cellStyle name="40% - Accent1 11 2" xfId="327" xr:uid="{00000000-0005-0000-0000-00003D010000}"/>
    <cellStyle name="40% - Accent1 11 3" xfId="328" xr:uid="{00000000-0005-0000-0000-00003E010000}"/>
    <cellStyle name="40% - Accent1 11 4" xfId="329" xr:uid="{00000000-0005-0000-0000-00003F010000}"/>
    <cellStyle name="40% - Accent1 12" xfId="330" xr:uid="{00000000-0005-0000-0000-000040010000}"/>
    <cellStyle name="40% - Accent1 12 2" xfId="331" xr:uid="{00000000-0005-0000-0000-000041010000}"/>
    <cellStyle name="40% - Accent1 12 3" xfId="332" xr:uid="{00000000-0005-0000-0000-000042010000}"/>
    <cellStyle name="40% - Accent1 12 4" xfId="333" xr:uid="{00000000-0005-0000-0000-000043010000}"/>
    <cellStyle name="40% - Accent1 13" xfId="334" xr:uid="{00000000-0005-0000-0000-000044010000}"/>
    <cellStyle name="40% - Accent1 13 2" xfId="335" xr:uid="{00000000-0005-0000-0000-000045010000}"/>
    <cellStyle name="40% - Accent1 13 3" xfId="336" xr:uid="{00000000-0005-0000-0000-000046010000}"/>
    <cellStyle name="40% - Accent1 13 4" xfId="337" xr:uid="{00000000-0005-0000-0000-000047010000}"/>
    <cellStyle name="40% - Accent1 14" xfId="338" xr:uid="{00000000-0005-0000-0000-000048010000}"/>
    <cellStyle name="40% - Accent1 15" xfId="339" xr:uid="{00000000-0005-0000-0000-000049010000}"/>
    <cellStyle name="40% - Accent1 16" xfId="340" xr:uid="{00000000-0005-0000-0000-00004A010000}"/>
    <cellStyle name="40% - Accent1 17" xfId="2645" xr:uid="{00000000-0005-0000-0000-00004B010000}"/>
    <cellStyle name="40% - Accent1 2" xfId="341" xr:uid="{00000000-0005-0000-0000-00004C010000}"/>
    <cellStyle name="40% - Accent1 2 2" xfId="342" xr:uid="{00000000-0005-0000-0000-00004D010000}"/>
    <cellStyle name="40% - Accent1 2 3" xfId="343" xr:uid="{00000000-0005-0000-0000-00004E010000}"/>
    <cellStyle name="40% - Accent1 2 4" xfId="344" xr:uid="{00000000-0005-0000-0000-00004F010000}"/>
    <cellStyle name="40% - Accent1 3" xfId="345" xr:uid="{00000000-0005-0000-0000-000050010000}"/>
    <cellStyle name="40% - Accent1 3 2" xfId="346" xr:uid="{00000000-0005-0000-0000-000051010000}"/>
    <cellStyle name="40% - Accent1 3 3" xfId="347" xr:uid="{00000000-0005-0000-0000-000052010000}"/>
    <cellStyle name="40% - Accent1 3 4" xfId="348" xr:uid="{00000000-0005-0000-0000-000053010000}"/>
    <cellStyle name="40% - Accent1 4" xfId="349" xr:uid="{00000000-0005-0000-0000-000054010000}"/>
    <cellStyle name="40% - Accent1 4 2" xfId="350" xr:uid="{00000000-0005-0000-0000-000055010000}"/>
    <cellStyle name="40% - Accent1 4 3" xfId="351" xr:uid="{00000000-0005-0000-0000-000056010000}"/>
    <cellStyle name="40% - Accent1 4 4" xfId="352" xr:uid="{00000000-0005-0000-0000-000057010000}"/>
    <cellStyle name="40% - Accent1 5" xfId="353" xr:uid="{00000000-0005-0000-0000-000058010000}"/>
    <cellStyle name="40% - Accent1 5 2" xfId="354" xr:uid="{00000000-0005-0000-0000-000059010000}"/>
    <cellStyle name="40% - Accent1 5 3" xfId="355" xr:uid="{00000000-0005-0000-0000-00005A010000}"/>
    <cellStyle name="40% - Accent1 5 4" xfId="356" xr:uid="{00000000-0005-0000-0000-00005B010000}"/>
    <cellStyle name="40% - Accent1 6" xfId="357" xr:uid="{00000000-0005-0000-0000-00005C010000}"/>
    <cellStyle name="40% - Accent1 6 2" xfId="358" xr:uid="{00000000-0005-0000-0000-00005D010000}"/>
    <cellStyle name="40% - Accent1 6 3" xfId="359" xr:uid="{00000000-0005-0000-0000-00005E010000}"/>
    <cellStyle name="40% - Accent1 6 4" xfId="360" xr:uid="{00000000-0005-0000-0000-00005F010000}"/>
    <cellStyle name="40% - Accent1 7" xfId="361" xr:uid="{00000000-0005-0000-0000-000060010000}"/>
    <cellStyle name="40% - Accent1 7 2" xfId="362" xr:uid="{00000000-0005-0000-0000-000061010000}"/>
    <cellStyle name="40% - Accent1 7 3" xfId="363" xr:uid="{00000000-0005-0000-0000-000062010000}"/>
    <cellStyle name="40% - Accent1 7 4" xfId="364" xr:uid="{00000000-0005-0000-0000-000063010000}"/>
    <cellStyle name="40% - Accent1 8" xfId="365" xr:uid="{00000000-0005-0000-0000-000064010000}"/>
    <cellStyle name="40% - Accent1 8 2" xfId="366" xr:uid="{00000000-0005-0000-0000-000065010000}"/>
    <cellStyle name="40% - Accent1 8 3" xfId="367" xr:uid="{00000000-0005-0000-0000-000066010000}"/>
    <cellStyle name="40% - Accent1 8 4" xfId="368" xr:uid="{00000000-0005-0000-0000-000067010000}"/>
    <cellStyle name="40% - Accent1 9" xfId="369" xr:uid="{00000000-0005-0000-0000-000068010000}"/>
    <cellStyle name="40% - Accent1 9 2" xfId="370" xr:uid="{00000000-0005-0000-0000-000069010000}"/>
    <cellStyle name="40% - Accent1 9 3" xfId="371" xr:uid="{00000000-0005-0000-0000-00006A010000}"/>
    <cellStyle name="40% - Accent1 9 4" xfId="372" xr:uid="{00000000-0005-0000-0000-00006B010000}"/>
    <cellStyle name="40% - Accent2 10" xfId="373" xr:uid="{00000000-0005-0000-0000-00006C010000}"/>
    <cellStyle name="40% - Accent2 10 2" xfId="374" xr:uid="{00000000-0005-0000-0000-00006D010000}"/>
    <cellStyle name="40% - Accent2 10 3" xfId="375" xr:uid="{00000000-0005-0000-0000-00006E010000}"/>
    <cellStyle name="40% - Accent2 10 4" xfId="376" xr:uid="{00000000-0005-0000-0000-00006F010000}"/>
    <cellStyle name="40% - Accent2 11" xfId="377" xr:uid="{00000000-0005-0000-0000-000070010000}"/>
    <cellStyle name="40% - Accent2 11 2" xfId="378" xr:uid="{00000000-0005-0000-0000-000071010000}"/>
    <cellStyle name="40% - Accent2 11 3" xfId="379" xr:uid="{00000000-0005-0000-0000-000072010000}"/>
    <cellStyle name="40% - Accent2 11 4" xfId="380" xr:uid="{00000000-0005-0000-0000-000073010000}"/>
    <cellStyle name="40% - Accent2 12" xfId="381" xr:uid="{00000000-0005-0000-0000-000074010000}"/>
    <cellStyle name="40% - Accent2 12 2" xfId="382" xr:uid="{00000000-0005-0000-0000-000075010000}"/>
    <cellStyle name="40% - Accent2 12 3" xfId="383" xr:uid="{00000000-0005-0000-0000-000076010000}"/>
    <cellStyle name="40% - Accent2 12 4" xfId="384" xr:uid="{00000000-0005-0000-0000-000077010000}"/>
    <cellStyle name="40% - Accent2 13" xfId="385" xr:uid="{00000000-0005-0000-0000-000078010000}"/>
    <cellStyle name="40% - Accent2 13 2" xfId="386" xr:uid="{00000000-0005-0000-0000-000079010000}"/>
    <cellStyle name="40% - Accent2 13 3" xfId="387" xr:uid="{00000000-0005-0000-0000-00007A010000}"/>
    <cellStyle name="40% - Accent2 13 4" xfId="388" xr:uid="{00000000-0005-0000-0000-00007B010000}"/>
    <cellStyle name="40% - Accent2 14" xfId="389" xr:uid="{00000000-0005-0000-0000-00007C010000}"/>
    <cellStyle name="40% - Accent2 15" xfId="390" xr:uid="{00000000-0005-0000-0000-00007D010000}"/>
    <cellStyle name="40% - Accent2 16" xfId="391" xr:uid="{00000000-0005-0000-0000-00007E010000}"/>
    <cellStyle name="40% - Accent2 17" xfId="2637" xr:uid="{00000000-0005-0000-0000-00007F010000}"/>
    <cellStyle name="40% - Accent2 2" xfId="392" xr:uid="{00000000-0005-0000-0000-000080010000}"/>
    <cellStyle name="40% - Accent2 2 2" xfId="393" xr:uid="{00000000-0005-0000-0000-000081010000}"/>
    <cellStyle name="40% - Accent2 2 3" xfId="394" xr:uid="{00000000-0005-0000-0000-000082010000}"/>
    <cellStyle name="40% - Accent2 2 4" xfId="395" xr:uid="{00000000-0005-0000-0000-000083010000}"/>
    <cellStyle name="40% - Accent2 3" xfId="396" xr:uid="{00000000-0005-0000-0000-000084010000}"/>
    <cellStyle name="40% - Accent2 3 2" xfId="397" xr:uid="{00000000-0005-0000-0000-000085010000}"/>
    <cellStyle name="40% - Accent2 3 3" xfId="398" xr:uid="{00000000-0005-0000-0000-000086010000}"/>
    <cellStyle name="40% - Accent2 3 4" xfId="399" xr:uid="{00000000-0005-0000-0000-000087010000}"/>
    <cellStyle name="40% - Accent2 4" xfId="400" xr:uid="{00000000-0005-0000-0000-000088010000}"/>
    <cellStyle name="40% - Accent2 4 2" xfId="401" xr:uid="{00000000-0005-0000-0000-000089010000}"/>
    <cellStyle name="40% - Accent2 4 3" xfId="402" xr:uid="{00000000-0005-0000-0000-00008A010000}"/>
    <cellStyle name="40% - Accent2 4 4" xfId="403" xr:uid="{00000000-0005-0000-0000-00008B010000}"/>
    <cellStyle name="40% - Accent2 5" xfId="404" xr:uid="{00000000-0005-0000-0000-00008C010000}"/>
    <cellStyle name="40% - Accent2 5 2" xfId="405" xr:uid="{00000000-0005-0000-0000-00008D010000}"/>
    <cellStyle name="40% - Accent2 5 3" xfId="406" xr:uid="{00000000-0005-0000-0000-00008E010000}"/>
    <cellStyle name="40% - Accent2 5 4" xfId="407" xr:uid="{00000000-0005-0000-0000-00008F010000}"/>
    <cellStyle name="40% - Accent2 6" xfId="408" xr:uid="{00000000-0005-0000-0000-000090010000}"/>
    <cellStyle name="40% - Accent2 6 2" xfId="409" xr:uid="{00000000-0005-0000-0000-000091010000}"/>
    <cellStyle name="40% - Accent2 6 3" xfId="410" xr:uid="{00000000-0005-0000-0000-000092010000}"/>
    <cellStyle name="40% - Accent2 6 4" xfId="411" xr:uid="{00000000-0005-0000-0000-000093010000}"/>
    <cellStyle name="40% - Accent2 7" xfId="412" xr:uid="{00000000-0005-0000-0000-000094010000}"/>
    <cellStyle name="40% - Accent2 7 2" xfId="413" xr:uid="{00000000-0005-0000-0000-000095010000}"/>
    <cellStyle name="40% - Accent2 7 3" xfId="414" xr:uid="{00000000-0005-0000-0000-000096010000}"/>
    <cellStyle name="40% - Accent2 7 4" xfId="415" xr:uid="{00000000-0005-0000-0000-000097010000}"/>
    <cellStyle name="40% - Accent2 8" xfId="416" xr:uid="{00000000-0005-0000-0000-000098010000}"/>
    <cellStyle name="40% - Accent2 8 2" xfId="417" xr:uid="{00000000-0005-0000-0000-000099010000}"/>
    <cellStyle name="40% - Accent2 8 3" xfId="418" xr:uid="{00000000-0005-0000-0000-00009A010000}"/>
    <cellStyle name="40% - Accent2 8 4" xfId="419" xr:uid="{00000000-0005-0000-0000-00009B010000}"/>
    <cellStyle name="40% - Accent2 9" xfId="420" xr:uid="{00000000-0005-0000-0000-00009C010000}"/>
    <cellStyle name="40% - Accent2 9 2" xfId="421" xr:uid="{00000000-0005-0000-0000-00009D010000}"/>
    <cellStyle name="40% - Accent2 9 3" xfId="422" xr:uid="{00000000-0005-0000-0000-00009E010000}"/>
    <cellStyle name="40% - Accent2 9 4" xfId="423" xr:uid="{00000000-0005-0000-0000-00009F010000}"/>
    <cellStyle name="40% - Accent3 10" xfId="424" xr:uid="{00000000-0005-0000-0000-0000A0010000}"/>
    <cellStyle name="40% - Accent3 10 2" xfId="425" xr:uid="{00000000-0005-0000-0000-0000A1010000}"/>
    <cellStyle name="40% - Accent3 10 3" xfId="426" xr:uid="{00000000-0005-0000-0000-0000A2010000}"/>
    <cellStyle name="40% - Accent3 10 4" xfId="427" xr:uid="{00000000-0005-0000-0000-0000A3010000}"/>
    <cellStyle name="40% - Accent3 11" xfId="428" xr:uid="{00000000-0005-0000-0000-0000A4010000}"/>
    <cellStyle name="40% - Accent3 11 2" xfId="429" xr:uid="{00000000-0005-0000-0000-0000A5010000}"/>
    <cellStyle name="40% - Accent3 11 3" xfId="430" xr:uid="{00000000-0005-0000-0000-0000A6010000}"/>
    <cellStyle name="40% - Accent3 11 4" xfId="431" xr:uid="{00000000-0005-0000-0000-0000A7010000}"/>
    <cellStyle name="40% - Accent3 12" xfId="432" xr:uid="{00000000-0005-0000-0000-0000A8010000}"/>
    <cellStyle name="40% - Accent3 12 2" xfId="433" xr:uid="{00000000-0005-0000-0000-0000A9010000}"/>
    <cellStyle name="40% - Accent3 12 3" xfId="434" xr:uid="{00000000-0005-0000-0000-0000AA010000}"/>
    <cellStyle name="40% - Accent3 12 4" xfId="435" xr:uid="{00000000-0005-0000-0000-0000AB010000}"/>
    <cellStyle name="40% - Accent3 13" xfId="436" xr:uid="{00000000-0005-0000-0000-0000AC010000}"/>
    <cellStyle name="40% - Accent3 13 2" xfId="437" xr:uid="{00000000-0005-0000-0000-0000AD010000}"/>
    <cellStyle name="40% - Accent3 13 3" xfId="438" xr:uid="{00000000-0005-0000-0000-0000AE010000}"/>
    <cellStyle name="40% - Accent3 13 4" xfId="439" xr:uid="{00000000-0005-0000-0000-0000AF010000}"/>
    <cellStyle name="40% - Accent3 14" xfId="440" xr:uid="{00000000-0005-0000-0000-0000B0010000}"/>
    <cellStyle name="40% - Accent3 15" xfId="441" xr:uid="{00000000-0005-0000-0000-0000B1010000}"/>
    <cellStyle name="40% - Accent3 16" xfId="442" xr:uid="{00000000-0005-0000-0000-0000B2010000}"/>
    <cellStyle name="40% - Accent3 17" xfId="2629" xr:uid="{00000000-0005-0000-0000-0000B3010000}"/>
    <cellStyle name="40% - Accent3 2" xfId="443" xr:uid="{00000000-0005-0000-0000-0000B4010000}"/>
    <cellStyle name="40% - Accent3 2 2" xfId="444" xr:uid="{00000000-0005-0000-0000-0000B5010000}"/>
    <cellStyle name="40% - Accent3 2 3" xfId="445" xr:uid="{00000000-0005-0000-0000-0000B6010000}"/>
    <cellStyle name="40% - Accent3 2 4" xfId="446" xr:uid="{00000000-0005-0000-0000-0000B7010000}"/>
    <cellStyle name="40% - Accent3 3" xfId="447" xr:uid="{00000000-0005-0000-0000-0000B8010000}"/>
    <cellStyle name="40% - Accent3 3 2" xfId="448" xr:uid="{00000000-0005-0000-0000-0000B9010000}"/>
    <cellStyle name="40% - Accent3 3 3" xfId="449" xr:uid="{00000000-0005-0000-0000-0000BA010000}"/>
    <cellStyle name="40% - Accent3 3 4" xfId="450" xr:uid="{00000000-0005-0000-0000-0000BB010000}"/>
    <cellStyle name="40% - Accent3 4" xfId="451" xr:uid="{00000000-0005-0000-0000-0000BC010000}"/>
    <cellStyle name="40% - Accent3 4 2" xfId="452" xr:uid="{00000000-0005-0000-0000-0000BD010000}"/>
    <cellStyle name="40% - Accent3 4 3" xfId="453" xr:uid="{00000000-0005-0000-0000-0000BE010000}"/>
    <cellStyle name="40% - Accent3 4 4" xfId="454" xr:uid="{00000000-0005-0000-0000-0000BF010000}"/>
    <cellStyle name="40% - Accent3 5" xfId="455" xr:uid="{00000000-0005-0000-0000-0000C0010000}"/>
    <cellStyle name="40% - Accent3 5 2" xfId="456" xr:uid="{00000000-0005-0000-0000-0000C1010000}"/>
    <cellStyle name="40% - Accent3 5 3" xfId="457" xr:uid="{00000000-0005-0000-0000-0000C2010000}"/>
    <cellStyle name="40% - Accent3 5 4" xfId="458" xr:uid="{00000000-0005-0000-0000-0000C3010000}"/>
    <cellStyle name="40% - Accent3 6" xfId="459" xr:uid="{00000000-0005-0000-0000-0000C4010000}"/>
    <cellStyle name="40% - Accent3 6 2" xfId="460" xr:uid="{00000000-0005-0000-0000-0000C5010000}"/>
    <cellStyle name="40% - Accent3 6 3" xfId="461" xr:uid="{00000000-0005-0000-0000-0000C6010000}"/>
    <cellStyle name="40% - Accent3 6 4" xfId="462" xr:uid="{00000000-0005-0000-0000-0000C7010000}"/>
    <cellStyle name="40% - Accent3 7" xfId="463" xr:uid="{00000000-0005-0000-0000-0000C8010000}"/>
    <cellStyle name="40% - Accent3 7 2" xfId="464" xr:uid="{00000000-0005-0000-0000-0000C9010000}"/>
    <cellStyle name="40% - Accent3 7 3" xfId="465" xr:uid="{00000000-0005-0000-0000-0000CA010000}"/>
    <cellStyle name="40% - Accent3 7 4" xfId="466" xr:uid="{00000000-0005-0000-0000-0000CB010000}"/>
    <cellStyle name="40% - Accent3 8" xfId="467" xr:uid="{00000000-0005-0000-0000-0000CC010000}"/>
    <cellStyle name="40% - Accent3 8 2" xfId="468" xr:uid="{00000000-0005-0000-0000-0000CD010000}"/>
    <cellStyle name="40% - Accent3 8 3" xfId="469" xr:uid="{00000000-0005-0000-0000-0000CE010000}"/>
    <cellStyle name="40% - Accent3 8 4" xfId="470" xr:uid="{00000000-0005-0000-0000-0000CF010000}"/>
    <cellStyle name="40% - Accent3 9" xfId="471" xr:uid="{00000000-0005-0000-0000-0000D0010000}"/>
    <cellStyle name="40% - Accent3 9 2" xfId="472" xr:uid="{00000000-0005-0000-0000-0000D1010000}"/>
    <cellStyle name="40% - Accent3 9 3" xfId="473" xr:uid="{00000000-0005-0000-0000-0000D2010000}"/>
    <cellStyle name="40% - Accent3 9 4" xfId="474" xr:uid="{00000000-0005-0000-0000-0000D3010000}"/>
    <cellStyle name="40% - Accent4 10" xfId="475" xr:uid="{00000000-0005-0000-0000-0000D4010000}"/>
    <cellStyle name="40% - Accent4 10 2" xfId="476" xr:uid="{00000000-0005-0000-0000-0000D5010000}"/>
    <cellStyle name="40% - Accent4 10 3" xfId="477" xr:uid="{00000000-0005-0000-0000-0000D6010000}"/>
    <cellStyle name="40% - Accent4 10 4" xfId="478" xr:uid="{00000000-0005-0000-0000-0000D7010000}"/>
    <cellStyle name="40% - Accent4 11" xfId="479" xr:uid="{00000000-0005-0000-0000-0000D8010000}"/>
    <cellStyle name="40% - Accent4 11 2" xfId="480" xr:uid="{00000000-0005-0000-0000-0000D9010000}"/>
    <cellStyle name="40% - Accent4 11 3" xfId="481" xr:uid="{00000000-0005-0000-0000-0000DA010000}"/>
    <cellStyle name="40% - Accent4 11 4" xfId="482" xr:uid="{00000000-0005-0000-0000-0000DB010000}"/>
    <cellStyle name="40% - Accent4 12" xfId="483" xr:uid="{00000000-0005-0000-0000-0000DC010000}"/>
    <cellStyle name="40% - Accent4 12 2" xfId="484" xr:uid="{00000000-0005-0000-0000-0000DD010000}"/>
    <cellStyle name="40% - Accent4 12 3" xfId="485" xr:uid="{00000000-0005-0000-0000-0000DE010000}"/>
    <cellStyle name="40% - Accent4 12 4" xfId="486" xr:uid="{00000000-0005-0000-0000-0000DF010000}"/>
    <cellStyle name="40% - Accent4 13" xfId="487" xr:uid="{00000000-0005-0000-0000-0000E0010000}"/>
    <cellStyle name="40% - Accent4 13 2" xfId="488" xr:uid="{00000000-0005-0000-0000-0000E1010000}"/>
    <cellStyle name="40% - Accent4 13 3" xfId="489" xr:uid="{00000000-0005-0000-0000-0000E2010000}"/>
    <cellStyle name="40% - Accent4 13 4" xfId="490" xr:uid="{00000000-0005-0000-0000-0000E3010000}"/>
    <cellStyle name="40% - Accent4 14" xfId="491" xr:uid="{00000000-0005-0000-0000-0000E4010000}"/>
    <cellStyle name="40% - Accent4 15" xfId="492" xr:uid="{00000000-0005-0000-0000-0000E5010000}"/>
    <cellStyle name="40% - Accent4 16" xfId="493" xr:uid="{00000000-0005-0000-0000-0000E6010000}"/>
    <cellStyle name="40% - Accent4 17" xfId="2623" xr:uid="{00000000-0005-0000-0000-0000E7010000}"/>
    <cellStyle name="40% - Accent4 2" xfId="494" xr:uid="{00000000-0005-0000-0000-0000E8010000}"/>
    <cellStyle name="40% - Accent4 2 2" xfId="495" xr:uid="{00000000-0005-0000-0000-0000E9010000}"/>
    <cellStyle name="40% - Accent4 2 3" xfId="496" xr:uid="{00000000-0005-0000-0000-0000EA010000}"/>
    <cellStyle name="40% - Accent4 2 4" xfId="497" xr:uid="{00000000-0005-0000-0000-0000EB010000}"/>
    <cellStyle name="40% - Accent4 3" xfId="498" xr:uid="{00000000-0005-0000-0000-0000EC010000}"/>
    <cellStyle name="40% - Accent4 3 2" xfId="499" xr:uid="{00000000-0005-0000-0000-0000ED010000}"/>
    <cellStyle name="40% - Accent4 3 3" xfId="500" xr:uid="{00000000-0005-0000-0000-0000EE010000}"/>
    <cellStyle name="40% - Accent4 3 4" xfId="501" xr:uid="{00000000-0005-0000-0000-0000EF010000}"/>
    <cellStyle name="40% - Accent4 4" xfId="502" xr:uid="{00000000-0005-0000-0000-0000F0010000}"/>
    <cellStyle name="40% - Accent4 4 2" xfId="503" xr:uid="{00000000-0005-0000-0000-0000F1010000}"/>
    <cellStyle name="40% - Accent4 4 3" xfId="504" xr:uid="{00000000-0005-0000-0000-0000F2010000}"/>
    <cellStyle name="40% - Accent4 4 4" xfId="505" xr:uid="{00000000-0005-0000-0000-0000F3010000}"/>
    <cellStyle name="40% - Accent4 5" xfId="506" xr:uid="{00000000-0005-0000-0000-0000F4010000}"/>
    <cellStyle name="40% - Accent4 5 2" xfId="507" xr:uid="{00000000-0005-0000-0000-0000F5010000}"/>
    <cellStyle name="40% - Accent4 5 3" xfId="508" xr:uid="{00000000-0005-0000-0000-0000F6010000}"/>
    <cellStyle name="40% - Accent4 5 4" xfId="509" xr:uid="{00000000-0005-0000-0000-0000F7010000}"/>
    <cellStyle name="40% - Accent4 6" xfId="510" xr:uid="{00000000-0005-0000-0000-0000F8010000}"/>
    <cellStyle name="40% - Accent4 6 2" xfId="511" xr:uid="{00000000-0005-0000-0000-0000F9010000}"/>
    <cellStyle name="40% - Accent4 6 3" xfId="512" xr:uid="{00000000-0005-0000-0000-0000FA010000}"/>
    <cellStyle name="40% - Accent4 6 4" xfId="513" xr:uid="{00000000-0005-0000-0000-0000FB010000}"/>
    <cellStyle name="40% - Accent4 7" xfId="514" xr:uid="{00000000-0005-0000-0000-0000FC010000}"/>
    <cellStyle name="40% - Accent4 7 2" xfId="515" xr:uid="{00000000-0005-0000-0000-0000FD010000}"/>
    <cellStyle name="40% - Accent4 7 3" xfId="516" xr:uid="{00000000-0005-0000-0000-0000FE010000}"/>
    <cellStyle name="40% - Accent4 7 4" xfId="517" xr:uid="{00000000-0005-0000-0000-0000FF010000}"/>
    <cellStyle name="40% - Accent4 8" xfId="518" xr:uid="{00000000-0005-0000-0000-000000020000}"/>
    <cellStyle name="40% - Accent4 8 2" xfId="519" xr:uid="{00000000-0005-0000-0000-000001020000}"/>
    <cellStyle name="40% - Accent4 8 3" xfId="520" xr:uid="{00000000-0005-0000-0000-000002020000}"/>
    <cellStyle name="40% - Accent4 8 4" xfId="521" xr:uid="{00000000-0005-0000-0000-000003020000}"/>
    <cellStyle name="40% - Accent4 9" xfId="522" xr:uid="{00000000-0005-0000-0000-000004020000}"/>
    <cellStyle name="40% - Accent4 9 2" xfId="523" xr:uid="{00000000-0005-0000-0000-000005020000}"/>
    <cellStyle name="40% - Accent4 9 3" xfId="524" xr:uid="{00000000-0005-0000-0000-000006020000}"/>
    <cellStyle name="40% - Accent4 9 4" xfId="525" xr:uid="{00000000-0005-0000-0000-000007020000}"/>
    <cellStyle name="40% - Accent5 10" xfId="526" xr:uid="{00000000-0005-0000-0000-000008020000}"/>
    <cellStyle name="40% - Accent5 10 2" xfId="527" xr:uid="{00000000-0005-0000-0000-000009020000}"/>
    <cellStyle name="40% - Accent5 10 3" xfId="528" xr:uid="{00000000-0005-0000-0000-00000A020000}"/>
    <cellStyle name="40% - Accent5 10 4" xfId="529" xr:uid="{00000000-0005-0000-0000-00000B020000}"/>
    <cellStyle name="40% - Accent5 11" xfId="530" xr:uid="{00000000-0005-0000-0000-00000C020000}"/>
    <cellStyle name="40% - Accent5 11 2" xfId="531" xr:uid="{00000000-0005-0000-0000-00000D020000}"/>
    <cellStyle name="40% - Accent5 11 3" xfId="532" xr:uid="{00000000-0005-0000-0000-00000E020000}"/>
    <cellStyle name="40% - Accent5 11 4" xfId="533" xr:uid="{00000000-0005-0000-0000-00000F020000}"/>
    <cellStyle name="40% - Accent5 12" xfId="534" xr:uid="{00000000-0005-0000-0000-000010020000}"/>
    <cellStyle name="40% - Accent5 12 2" xfId="535" xr:uid="{00000000-0005-0000-0000-000011020000}"/>
    <cellStyle name="40% - Accent5 12 3" xfId="536" xr:uid="{00000000-0005-0000-0000-000012020000}"/>
    <cellStyle name="40% - Accent5 12 4" xfId="537" xr:uid="{00000000-0005-0000-0000-000013020000}"/>
    <cellStyle name="40% - Accent5 13" xfId="538" xr:uid="{00000000-0005-0000-0000-000014020000}"/>
    <cellStyle name="40% - Accent5 13 2" xfId="539" xr:uid="{00000000-0005-0000-0000-000015020000}"/>
    <cellStyle name="40% - Accent5 13 3" xfId="540" xr:uid="{00000000-0005-0000-0000-000016020000}"/>
    <cellStyle name="40% - Accent5 13 4" xfId="541" xr:uid="{00000000-0005-0000-0000-000017020000}"/>
    <cellStyle name="40% - Accent5 14" xfId="542" xr:uid="{00000000-0005-0000-0000-000018020000}"/>
    <cellStyle name="40% - Accent5 15" xfId="543" xr:uid="{00000000-0005-0000-0000-000019020000}"/>
    <cellStyle name="40% - Accent5 16" xfId="544" xr:uid="{00000000-0005-0000-0000-00001A020000}"/>
    <cellStyle name="40% - Accent5 17" xfId="2644" xr:uid="{00000000-0005-0000-0000-00001B020000}"/>
    <cellStyle name="40% - Accent5 2" xfId="545" xr:uid="{00000000-0005-0000-0000-00001C020000}"/>
    <cellStyle name="40% - Accent5 2 2" xfId="546" xr:uid="{00000000-0005-0000-0000-00001D020000}"/>
    <cellStyle name="40% - Accent5 2 3" xfId="547" xr:uid="{00000000-0005-0000-0000-00001E020000}"/>
    <cellStyle name="40% - Accent5 2 4" xfId="548" xr:uid="{00000000-0005-0000-0000-00001F020000}"/>
    <cellStyle name="40% - Accent5 3" xfId="549" xr:uid="{00000000-0005-0000-0000-000020020000}"/>
    <cellStyle name="40% - Accent5 3 2" xfId="550" xr:uid="{00000000-0005-0000-0000-000021020000}"/>
    <cellStyle name="40% - Accent5 3 3" xfId="551" xr:uid="{00000000-0005-0000-0000-000022020000}"/>
    <cellStyle name="40% - Accent5 3 4" xfId="552" xr:uid="{00000000-0005-0000-0000-000023020000}"/>
    <cellStyle name="40% - Accent5 4" xfId="553" xr:uid="{00000000-0005-0000-0000-000024020000}"/>
    <cellStyle name="40% - Accent5 4 2" xfId="554" xr:uid="{00000000-0005-0000-0000-000025020000}"/>
    <cellStyle name="40% - Accent5 4 3" xfId="555" xr:uid="{00000000-0005-0000-0000-000026020000}"/>
    <cellStyle name="40% - Accent5 4 4" xfId="556" xr:uid="{00000000-0005-0000-0000-000027020000}"/>
    <cellStyle name="40% - Accent5 5" xfId="557" xr:uid="{00000000-0005-0000-0000-000028020000}"/>
    <cellStyle name="40% - Accent5 5 2" xfId="558" xr:uid="{00000000-0005-0000-0000-000029020000}"/>
    <cellStyle name="40% - Accent5 5 3" xfId="559" xr:uid="{00000000-0005-0000-0000-00002A020000}"/>
    <cellStyle name="40% - Accent5 5 4" xfId="560" xr:uid="{00000000-0005-0000-0000-00002B020000}"/>
    <cellStyle name="40% - Accent5 6" xfId="561" xr:uid="{00000000-0005-0000-0000-00002C020000}"/>
    <cellStyle name="40% - Accent5 6 2" xfId="562" xr:uid="{00000000-0005-0000-0000-00002D020000}"/>
    <cellStyle name="40% - Accent5 6 3" xfId="563" xr:uid="{00000000-0005-0000-0000-00002E020000}"/>
    <cellStyle name="40% - Accent5 6 4" xfId="564" xr:uid="{00000000-0005-0000-0000-00002F020000}"/>
    <cellStyle name="40% - Accent5 7" xfId="565" xr:uid="{00000000-0005-0000-0000-000030020000}"/>
    <cellStyle name="40% - Accent5 7 2" xfId="566" xr:uid="{00000000-0005-0000-0000-000031020000}"/>
    <cellStyle name="40% - Accent5 7 3" xfId="567" xr:uid="{00000000-0005-0000-0000-000032020000}"/>
    <cellStyle name="40% - Accent5 7 4" xfId="568" xr:uid="{00000000-0005-0000-0000-000033020000}"/>
    <cellStyle name="40% - Accent5 8" xfId="569" xr:uid="{00000000-0005-0000-0000-000034020000}"/>
    <cellStyle name="40% - Accent5 8 2" xfId="570" xr:uid="{00000000-0005-0000-0000-000035020000}"/>
    <cellStyle name="40% - Accent5 8 3" xfId="571" xr:uid="{00000000-0005-0000-0000-000036020000}"/>
    <cellStyle name="40% - Accent5 8 4" xfId="572" xr:uid="{00000000-0005-0000-0000-000037020000}"/>
    <cellStyle name="40% - Accent5 9" xfId="573" xr:uid="{00000000-0005-0000-0000-000038020000}"/>
    <cellStyle name="40% - Accent5 9 2" xfId="574" xr:uid="{00000000-0005-0000-0000-000039020000}"/>
    <cellStyle name="40% - Accent5 9 3" xfId="575" xr:uid="{00000000-0005-0000-0000-00003A020000}"/>
    <cellStyle name="40% - Accent5 9 4" xfId="576" xr:uid="{00000000-0005-0000-0000-00003B020000}"/>
    <cellStyle name="40% - Accent6 10" xfId="577" xr:uid="{00000000-0005-0000-0000-00003C020000}"/>
    <cellStyle name="40% - Accent6 10 2" xfId="578" xr:uid="{00000000-0005-0000-0000-00003D020000}"/>
    <cellStyle name="40% - Accent6 10 3" xfId="579" xr:uid="{00000000-0005-0000-0000-00003E020000}"/>
    <cellStyle name="40% - Accent6 10 4" xfId="580" xr:uid="{00000000-0005-0000-0000-00003F020000}"/>
    <cellStyle name="40% - Accent6 11" xfId="581" xr:uid="{00000000-0005-0000-0000-000040020000}"/>
    <cellStyle name="40% - Accent6 11 2" xfId="582" xr:uid="{00000000-0005-0000-0000-000041020000}"/>
    <cellStyle name="40% - Accent6 11 3" xfId="583" xr:uid="{00000000-0005-0000-0000-000042020000}"/>
    <cellStyle name="40% - Accent6 11 4" xfId="584" xr:uid="{00000000-0005-0000-0000-000043020000}"/>
    <cellStyle name="40% - Accent6 12" xfId="585" xr:uid="{00000000-0005-0000-0000-000044020000}"/>
    <cellStyle name="40% - Accent6 12 2" xfId="586" xr:uid="{00000000-0005-0000-0000-000045020000}"/>
    <cellStyle name="40% - Accent6 12 3" xfId="587" xr:uid="{00000000-0005-0000-0000-000046020000}"/>
    <cellStyle name="40% - Accent6 12 4" xfId="588" xr:uid="{00000000-0005-0000-0000-000047020000}"/>
    <cellStyle name="40% - Accent6 13" xfId="589" xr:uid="{00000000-0005-0000-0000-000048020000}"/>
    <cellStyle name="40% - Accent6 13 2" xfId="590" xr:uid="{00000000-0005-0000-0000-000049020000}"/>
    <cellStyle name="40% - Accent6 13 3" xfId="591" xr:uid="{00000000-0005-0000-0000-00004A020000}"/>
    <cellStyle name="40% - Accent6 13 4" xfId="592" xr:uid="{00000000-0005-0000-0000-00004B020000}"/>
    <cellStyle name="40% - Accent6 14" xfId="593" xr:uid="{00000000-0005-0000-0000-00004C020000}"/>
    <cellStyle name="40% - Accent6 15" xfId="594" xr:uid="{00000000-0005-0000-0000-00004D020000}"/>
    <cellStyle name="40% - Accent6 16" xfId="595" xr:uid="{00000000-0005-0000-0000-00004E020000}"/>
    <cellStyle name="40% - Accent6 17" xfId="2636" xr:uid="{00000000-0005-0000-0000-00004F020000}"/>
    <cellStyle name="40% - Accent6 2" xfId="596" xr:uid="{00000000-0005-0000-0000-000050020000}"/>
    <cellStyle name="40% - Accent6 2 2" xfId="597" xr:uid="{00000000-0005-0000-0000-000051020000}"/>
    <cellStyle name="40% - Accent6 2 3" xfId="598" xr:uid="{00000000-0005-0000-0000-000052020000}"/>
    <cellStyle name="40% - Accent6 2 4" xfId="599" xr:uid="{00000000-0005-0000-0000-000053020000}"/>
    <cellStyle name="40% - Accent6 3" xfId="600" xr:uid="{00000000-0005-0000-0000-000054020000}"/>
    <cellStyle name="40% - Accent6 3 2" xfId="601" xr:uid="{00000000-0005-0000-0000-000055020000}"/>
    <cellStyle name="40% - Accent6 3 3" xfId="602" xr:uid="{00000000-0005-0000-0000-000056020000}"/>
    <cellStyle name="40% - Accent6 3 4" xfId="603" xr:uid="{00000000-0005-0000-0000-000057020000}"/>
    <cellStyle name="40% - Accent6 4" xfId="604" xr:uid="{00000000-0005-0000-0000-000058020000}"/>
    <cellStyle name="40% - Accent6 4 2" xfId="605" xr:uid="{00000000-0005-0000-0000-000059020000}"/>
    <cellStyle name="40% - Accent6 4 3" xfId="606" xr:uid="{00000000-0005-0000-0000-00005A020000}"/>
    <cellStyle name="40% - Accent6 4 4" xfId="607" xr:uid="{00000000-0005-0000-0000-00005B020000}"/>
    <cellStyle name="40% - Accent6 5" xfId="608" xr:uid="{00000000-0005-0000-0000-00005C020000}"/>
    <cellStyle name="40% - Accent6 5 2" xfId="609" xr:uid="{00000000-0005-0000-0000-00005D020000}"/>
    <cellStyle name="40% - Accent6 5 3" xfId="610" xr:uid="{00000000-0005-0000-0000-00005E020000}"/>
    <cellStyle name="40% - Accent6 5 4" xfId="611" xr:uid="{00000000-0005-0000-0000-00005F020000}"/>
    <cellStyle name="40% - Accent6 6" xfId="612" xr:uid="{00000000-0005-0000-0000-000060020000}"/>
    <cellStyle name="40% - Accent6 6 2" xfId="613" xr:uid="{00000000-0005-0000-0000-000061020000}"/>
    <cellStyle name="40% - Accent6 6 3" xfId="614" xr:uid="{00000000-0005-0000-0000-000062020000}"/>
    <cellStyle name="40% - Accent6 6 4" xfId="615" xr:uid="{00000000-0005-0000-0000-000063020000}"/>
    <cellStyle name="40% - Accent6 7" xfId="616" xr:uid="{00000000-0005-0000-0000-000064020000}"/>
    <cellStyle name="40% - Accent6 7 2" xfId="617" xr:uid="{00000000-0005-0000-0000-000065020000}"/>
    <cellStyle name="40% - Accent6 7 3" xfId="618" xr:uid="{00000000-0005-0000-0000-000066020000}"/>
    <cellStyle name="40% - Accent6 7 4" xfId="619" xr:uid="{00000000-0005-0000-0000-000067020000}"/>
    <cellStyle name="40% - Accent6 8" xfId="620" xr:uid="{00000000-0005-0000-0000-000068020000}"/>
    <cellStyle name="40% - Accent6 8 2" xfId="621" xr:uid="{00000000-0005-0000-0000-000069020000}"/>
    <cellStyle name="40% - Accent6 8 3" xfId="622" xr:uid="{00000000-0005-0000-0000-00006A020000}"/>
    <cellStyle name="40% - Accent6 8 4" xfId="623" xr:uid="{00000000-0005-0000-0000-00006B020000}"/>
    <cellStyle name="40% - Accent6 9" xfId="624" xr:uid="{00000000-0005-0000-0000-00006C020000}"/>
    <cellStyle name="40% - Accent6 9 2" xfId="625" xr:uid="{00000000-0005-0000-0000-00006D020000}"/>
    <cellStyle name="40% - Accent6 9 3" xfId="626" xr:uid="{00000000-0005-0000-0000-00006E020000}"/>
    <cellStyle name="40% - Accent6 9 4" xfId="627" xr:uid="{00000000-0005-0000-0000-00006F020000}"/>
    <cellStyle name="60% - Accent1 2" xfId="2597" xr:uid="{00000000-0005-0000-0000-000070020000}"/>
    <cellStyle name="60% - Accent2 2" xfId="2599" xr:uid="{00000000-0005-0000-0000-000071020000}"/>
    <cellStyle name="60% - Accent3 2" xfId="2601" xr:uid="{00000000-0005-0000-0000-000072020000}"/>
    <cellStyle name="60% - Accent4 2" xfId="2603" xr:uid="{00000000-0005-0000-0000-000073020000}"/>
    <cellStyle name="60% - Accent5 2" xfId="2605" xr:uid="{00000000-0005-0000-0000-000074020000}"/>
    <cellStyle name="60% - Accent6 2" xfId="2607" xr:uid="{00000000-0005-0000-0000-000075020000}"/>
    <cellStyle name="Accent1 2" xfId="2596" xr:uid="{00000000-0005-0000-0000-000076020000}"/>
    <cellStyle name="Accent2 2" xfId="2598" xr:uid="{00000000-0005-0000-0000-000077020000}"/>
    <cellStyle name="Accent3 2" xfId="2600" xr:uid="{00000000-0005-0000-0000-000078020000}"/>
    <cellStyle name="Accent4 2" xfId="2602" xr:uid="{00000000-0005-0000-0000-000079020000}"/>
    <cellStyle name="Accent5 2" xfId="2604" xr:uid="{00000000-0005-0000-0000-00007A020000}"/>
    <cellStyle name="Accent6 2" xfId="2606" xr:uid="{00000000-0005-0000-0000-00007B020000}"/>
    <cellStyle name="Bad 2" xfId="2586" xr:uid="{00000000-0005-0000-0000-00007C020000}"/>
    <cellStyle name="Calculation 2" xfId="2590" xr:uid="{00000000-0005-0000-0000-00007D020000}"/>
    <cellStyle name="Check Cell 2" xfId="2592" xr:uid="{00000000-0005-0000-0000-00007E020000}"/>
    <cellStyle name="Comma" xfId="2" builtinId="3"/>
    <cellStyle name="Comma 10" xfId="628" xr:uid="{00000000-0005-0000-0000-000080020000}"/>
    <cellStyle name="Comma 10 2" xfId="629" xr:uid="{00000000-0005-0000-0000-000081020000}"/>
    <cellStyle name="Comma 10 2 2" xfId="2659" xr:uid="{00000000-0005-0000-0000-000082020000}"/>
    <cellStyle name="Comma 10 3" xfId="630" xr:uid="{00000000-0005-0000-0000-000083020000}"/>
    <cellStyle name="Comma 10 3 2" xfId="2660" xr:uid="{00000000-0005-0000-0000-000084020000}"/>
    <cellStyle name="Comma 10 4" xfId="631" xr:uid="{00000000-0005-0000-0000-000085020000}"/>
    <cellStyle name="Comma 10 4 2" xfId="2661" xr:uid="{00000000-0005-0000-0000-000086020000}"/>
    <cellStyle name="Comma 10 5" xfId="2609" xr:uid="{00000000-0005-0000-0000-000087020000}"/>
    <cellStyle name="Comma 10 5 2" xfId="3963" xr:uid="{00000000-0005-0000-0000-000088020000}"/>
    <cellStyle name="Comma 10 6" xfId="2658" xr:uid="{00000000-0005-0000-0000-000089020000}"/>
    <cellStyle name="Comma 11" xfId="632" xr:uid="{00000000-0005-0000-0000-00008A020000}"/>
    <cellStyle name="Comma 11 2" xfId="633" xr:uid="{00000000-0005-0000-0000-00008B020000}"/>
    <cellStyle name="Comma 11 2 2" xfId="2663" xr:uid="{00000000-0005-0000-0000-00008C020000}"/>
    <cellStyle name="Comma 11 3" xfId="634" xr:uid="{00000000-0005-0000-0000-00008D020000}"/>
    <cellStyle name="Comma 11 3 2" xfId="2664" xr:uid="{00000000-0005-0000-0000-00008E020000}"/>
    <cellStyle name="Comma 11 4" xfId="635" xr:uid="{00000000-0005-0000-0000-00008F020000}"/>
    <cellStyle name="Comma 11 4 2" xfId="2665" xr:uid="{00000000-0005-0000-0000-000090020000}"/>
    <cellStyle name="Comma 11 5" xfId="2662" xr:uid="{00000000-0005-0000-0000-000091020000}"/>
    <cellStyle name="Comma 12" xfId="636" xr:uid="{00000000-0005-0000-0000-000092020000}"/>
    <cellStyle name="Comma 12 2" xfId="637" xr:uid="{00000000-0005-0000-0000-000093020000}"/>
    <cellStyle name="Comma 12 2 2" xfId="2667" xr:uid="{00000000-0005-0000-0000-000094020000}"/>
    <cellStyle name="Comma 12 3" xfId="638" xr:uid="{00000000-0005-0000-0000-000095020000}"/>
    <cellStyle name="Comma 12 3 2" xfId="2668" xr:uid="{00000000-0005-0000-0000-000096020000}"/>
    <cellStyle name="Comma 12 4" xfId="639" xr:uid="{00000000-0005-0000-0000-000097020000}"/>
    <cellStyle name="Comma 12 4 2" xfId="2669" xr:uid="{00000000-0005-0000-0000-000098020000}"/>
    <cellStyle name="Comma 12 5" xfId="2666" xr:uid="{00000000-0005-0000-0000-000099020000}"/>
    <cellStyle name="Comma 13" xfId="640" xr:uid="{00000000-0005-0000-0000-00009A020000}"/>
    <cellStyle name="Comma 13 2" xfId="641" xr:uid="{00000000-0005-0000-0000-00009B020000}"/>
    <cellStyle name="Comma 13 2 2" xfId="2671" xr:uid="{00000000-0005-0000-0000-00009C020000}"/>
    <cellStyle name="Comma 13 3" xfId="642" xr:uid="{00000000-0005-0000-0000-00009D020000}"/>
    <cellStyle name="Comma 13 3 2" xfId="2672" xr:uid="{00000000-0005-0000-0000-00009E020000}"/>
    <cellStyle name="Comma 13 4" xfId="643" xr:uid="{00000000-0005-0000-0000-00009F020000}"/>
    <cellStyle name="Comma 13 4 2" xfId="2673" xr:uid="{00000000-0005-0000-0000-0000A0020000}"/>
    <cellStyle name="Comma 13 5" xfId="2670" xr:uid="{00000000-0005-0000-0000-0000A1020000}"/>
    <cellStyle name="Comma 14" xfId="644" xr:uid="{00000000-0005-0000-0000-0000A2020000}"/>
    <cellStyle name="Comma 14 2" xfId="645" xr:uid="{00000000-0005-0000-0000-0000A3020000}"/>
    <cellStyle name="Comma 14 2 2" xfId="2675" xr:uid="{00000000-0005-0000-0000-0000A4020000}"/>
    <cellStyle name="Comma 14 3" xfId="646" xr:uid="{00000000-0005-0000-0000-0000A5020000}"/>
    <cellStyle name="Comma 14 3 2" xfId="2676" xr:uid="{00000000-0005-0000-0000-0000A6020000}"/>
    <cellStyle name="Comma 14 4" xfId="647" xr:uid="{00000000-0005-0000-0000-0000A7020000}"/>
    <cellStyle name="Comma 14 4 2" xfId="2677" xr:uid="{00000000-0005-0000-0000-0000A8020000}"/>
    <cellStyle name="Comma 14 5" xfId="2674" xr:uid="{00000000-0005-0000-0000-0000A9020000}"/>
    <cellStyle name="Comma 15" xfId="648" xr:uid="{00000000-0005-0000-0000-0000AA020000}"/>
    <cellStyle name="Comma 15 2" xfId="649" xr:uid="{00000000-0005-0000-0000-0000AB020000}"/>
    <cellStyle name="Comma 15 2 2" xfId="2679" xr:uid="{00000000-0005-0000-0000-0000AC020000}"/>
    <cellStyle name="Comma 15 3" xfId="650" xr:uid="{00000000-0005-0000-0000-0000AD020000}"/>
    <cellStyle name="Comma 15 3 2" xfId="2680" xr:uid="{00000000-0005-0000-0000-0000AE020000}"/>
    <cellStyle name="Comma 15 4" xfId="651" xr:uid="{00000000-0005-0000-0000-0000AF020000}"/>
    <cellStyle name="Comma 15 4 2" xfId="2681" xr:uid="{00000000-0005-0000-0000-0000B0020000}"/>
    <cellStyle name="Comma 15 5" xfId="2678" xr:uid="{00000000-0005-0000-0000-0000B1020000}"/>
    <cellStyle name="Comma 16" xfId="652" xr:uid="{00000000-0005-0000-0000-0000B2020000}"/>
    <cellStyle name="Comma 16 2" xfId="653" xr:uid="{00000000-0005-0000-0000-0000B3020000}"/>
    <cellStyle name="Comma 16 2 2" xfId="2683" xr:uid="{00000000-0005-0000-0000-0000B4020000}"/>
    <cellStyle name="Comma 16 3" xfId="654" xr:uid="{00000000-0005-0000-0000-0000B5020000}"/>
    <cellStyle name="Comma 16 3 2" xfId="2684" xr:uid="{00000000-0005-0000-0000-0000B6020000}"/>
    <cellStyle name="Comma 16 4" xfId="655" xr:uid="{00000000-0005-0000-0000-0000B7020000}"/>
    <cellStyle name="Comma 16 4 2" xfId="2685" xr:uid="{00000000-0005-0000-0000-0000B8020000}"/>
    <cellStyle name="Comma 16 5" xfId="2682" xr:uid="{00000000-0005-0000-0000-0000B9020000}"/>
    <cellStyle name="Comma 17" xfId="656" xr:uid="{00000000-0005-0000-0000-0000BA020000}"/>
    <cellStyle name="Comma 17 2" xfId="657" xr:uid="{00000000-0005-0000-0000-0000BB020000}"/>
    <cellStyle name="Comma 17 2 2" xfId="2687" xr:uid="{00000000-0005-0000-0000-0000BC020000}"/>
    <cellStyle name="Comma 17 3" xfId="658" xr:uid="{00000000-0005-0000-0000-0000BD020000}"/>
    <cellStyle name="Comma 17 3 2" xfId="2688" xr:uid="{00000000-0005-0000-0000-0000BE020000}"/>
    <cellStyle name="Comma 17 4" xfId="659" xr:uid="{00000000-0005-0000-0000-0000BF020000}"/>
    <cellStyle name="Comma 17 4 2" xfId="2689" xr:uid="{00000000-0005-0000-0000-0000C0020000}"/>
    <cellStyle name="Comma 17 5" xfId="2686" xr:uid="{00000000-0005-0000-0000-0000C1020000}"/>
    <cellStyle name="Comma 18" xfId="660" xr:uid="{00000000-0005-0000-0000-0000C2020000}"/>
    <cellStyle name="Comma 18 2" xfId="661" xr:uid="{00000000-0005-0000-0000-0000C3020000}"/>
    <cellStyle name="Comma 18 2 2" xfId="2691" xr:uid="{00000000-0005-0000-0000-0000C4020000}"/>
    <cellStyle name="Comma 18 3" xfId="662" xr:uid="{00000000-0005-0000-0000-0000C5020000}"/>
    <cellStyle name="Comma 18 3 2" xfId="2692" xr:uid="{00000000-0005-0000-0000-0000C6020000}"/>
    <cellStyle name="Comma 18 4" xfId="663" xr:uid="{00000000-0005-0000-0000-0000C7020000}"/>
    <cellStyle name="Comma 18 4 2" xfId="2693" xr:uid="{00000000-0005-0000-0000-0000C8020000}"/>
    <cellStyle name="Comma 18 5" xfId="2690" xr:uid="{00000000-0005-0000-0000-0000C9020000}"/>
    <cellStyle name="Comma 19" xfId="664" xr:uid="{00000000-0005-0000-0000-0000CA020000}"/>
    <cellStyle name="Comma 19 2" xfId="665" xr:uid="{00000000-0005-0000-0000-0000CB020000}"/>
    <cellStyle name="Comma 19 2 2" xfId="2695" xr:uid="{00000000-0005-0000-0000-0000CC020000}"/>
    <cellStyle name="Comma 19 3" xfId="666" xr:uid="{00000000-0005-0000-0000-0000CD020000}"/>
    <cellStyle name="Comma 19 3 2" xfId="2696" xr:uid="{00000000-0005-0000-0000-0000CE020000}"/>
    <cellStyle name="Comma 19 4" xfId="667" xr:uid="{00000000-0005-0000-0000-0000CF020000}"/>
    <cellStyle name="Comma 19 4 2" xfId="2697" xr:uid="{00000000-0005-0000-0000-0000D0020000}"/>
    <cellStyle name="Comma 19 5" xfId="2694" xr:uid="{00000000-0005-0000-0000-0000D1020000}"/>
    <cellStyle name="Comma 2" xfId="4" xr:uid="{00000000-0005-0000-0000-0000D2020000}"/>
    <cellStyle name="Comma 2 2" xfId="668" xr:uid="{00000000-0005-0000-0000-0000D3020000}"/>
    <cellStyle name="Comma 2 2 2" xfId="2620" xr:uid="{00000000-0005-0000-0000-0000D4020000}"/>
    <cellStyle name="Comma 2 2 2 2" xfId="3968" xr:uid="{00000000-0005-0000-0000-0000D5020000}"/>
    <cellStyle name="Comma 2 2 3" xfId="2615" xr:uid="{00000000-0005-0000-0000-0000D6020000}"/>
    <cellStyle name="Comma 2 2 3 2" xfId="3966" xr:uid="{00000000-0005-0000-0000-0000D7020000}"/>
    <cellStyle name="Comma 2 2 4" xfId="3984" xr:uid="{00000000-0005-0000-0000-0000D8020000}"/>
    <cellStyle name="Comma 2 2 4 2" xfId="3993" xr:uid="{00000000-0005-0000-0000-0000D9020000}"/>
    <cellStyle name="Comma 2 2 5" xfId="2698" xr:uid="{00000000-0005-0000-0000-0000DA020000}"/>
    <cellStyle name="Comma 2 3" xfId="2612" xr:uid="{00000000-0005-0000-0000-0000DB020000}"/>
    <cellStyle name="Comma 2 3 2" xfId="3965" xr:uid="{00000000-0005-0000-0000-0000DC020000}"/>
    <cellStyle name="Comma 2 4" xfId="14" xr:uid="{00000000-0005-0000-0000-0000DD020000}"/>
    <cellStyle name="Comma 2 4 2" xfId="3990" xr:uid="{00000000-0005-0000-0000-0000DE020000}"/>
    <cellStyle name="Comma 20" xfId="669" xr:uid="{00000000-0005-0000-0000-0000DF020000}"/>
    <cellStyle name="Comma 20 2" xfId="670" xr:uid="{00000000-0005-0000-0000-0000E0020000}"/>
    <cellStyle name="Comma 20 2 2" xfId="2700" xr:uid="{00000000-0005-0000-0000-0000E1020000}"/>
    <cellStyle name="Comma 20 3" xfId="671" xr:uid="{00000000-0005-0000-0000-0000E2020000}"/>
    <cellStyle name="Comma 20 3 2" xfId="2701" xr:uid="{00000000-0005-0000-0000-0000E3020000}"/>
    <cellStyle name="Comma 20 4" xfId="672" xr:uid="{00000000-0005-0000-0000-0000E4020000}"/>
    <cellStyle name="Comma 20 4 2" xfId="2702" xr:uid="{00000000-0005-0000-0000-0000E5020000}"/>
    <cellStyle name="Comma 20 5" xfId="2699" xr:uid="{00000000-0005-0000-0000-0000E6020000}"/>
    <cellStyle name="Comma 21" xfId="673" xr:uid="{00000000-0005-0000-0000-0000E7020000}"/>
    <cellStyle name="Comma 21 2" xfId="674" xr:uid="{00000000-0005-0000-0000-0000E8020000}"/>
    <cellStyle name="Comma 21 2 2" xfId="2704" xr:uid="{00000000-0005-0000-0000-0000E9020000}"/>
    <cellStyle name="Comma 21 3" xfId="675" xr:uid="{00000000-0005-0000-0000-0000EA020000}"/>
    <cellStyle name="Comma 21 3 2" xfId="2705" xr:uid="{00000000-0005-0000-0000-0000EB020000}"/>
    <cellStyle name="Comma 21 4" xfId="676" xr:uid="{00000000-0005-0000-0000-0000EC020000}"/>
    <cellStyle name="Comma 21 4 2" xfId="2706" xr:uid="{00000000-0005-0000-0000-0000ED020000}"/>
    <cellStyle name="Comma 21 5" xfId="2703" xr:uid="{00000000-0005-0000-0000-0000EE020000}"/>
    <cellStyle name="Comma 22" xfId="677" xr:uid="{00000000-0005-0000-0000-0000EF020000}"/>
    <cellStyle name="Comma 22 2" xfId="678" xr:uid="{00000000-0005-0000-0000-0000F0020000}"/>
    <cellStyle name="Comma 22 2 2" xfId="2708" xr:uid="{00000000-0005-0000-0000-0000F1020000}"/>
    <cellStyle name="Comma 22 3" xfId="679" xr:uid="{00000000-0005-0000-0000-0000F2020000}"/>
    <cellStyle name="Comma 22 3 2" xfId="2709" xr:uid="{00000000-0005-0000-0000-0000F3020000}"/>
    <cellStyle name="Comma 22 4" xfId="680" xr:uid="{00000000-0005-0000-0000-0000F4020000}"/>
    <cellStyle name="Comma 22 4 2" xfId="2710" xr:uid="{00000000-0005-0000-0000-0000F5020000}"/>
    <cellStyle name="Comma 22 5" xfId="2707" xr:uid="{00000000-0005-0000-0000-0000F6020000}"/>
    <cellStyle name="Comma 23" xfId="681" xr:uid="{00000000-0005-0000-0000-0000F7020000}"/>
    <cellStyle name="Comma 23 2" xfId="682" xr:uid="{00000000-0005-0000-0000-0000F8020000}"/>
    <cellStyle name="Comma 23 2 2" xfId="2712" xr:uid="{00000000-0005-0000-0000-0000F9020000}"/>
    <cellStyle name="Comma 23 3" xfId="683" xr:uid="{00000000-0005-0000-0000-0000FA020000}"/>
    <cellStyle name="Comma 23 3 2" xfId="2713" xr:uid="{00000000-0005-0000-0000-0000FB020000}"/>
    <cellStyle name="Comma 23 4" xfId="684" xr:uid="{00000000-0005-0000-0000-0000FC020000}"/>
    <cellStyle name="Comma 23 4 2" xfId="2714" xr:uid="{00000000-0005-0000-0000-0000FD020000}"/>
    <cellStyle name="Comma 23 5" xfId="2711" xr:uid="{00000000-0005-0000-0000-0000FE020000}"/>
    <cellStyle name="Comma 24" xfId="685" xr:uid="{00000000-0005-0000-0000-0000FF020000}"/>
    <cellStyle name="Comma 24 2" xfId="686" xr:uid="{00000000-0005-0000-0000-000000030000}"/>
    <cellStyle name="Comma 24 2 2" xfId="2716" xr:uid="{00000000-0005-0000-0000-000001030000}"/>
    <cellStyle name="Comma 24 3" xfId="687" xr:uid="{00000000-0005-0000-0000-000002030000}"/>
    <cellStyle name="Comma 24 3 2" xfId="2717" xr:uid="{00000000-0005-0000-0000-000003030000}"/>
    <cellStyle name="Comma 24 4" xfId="688" xr:uid="{00000000-0005-0000-0000-000004030000}"/>
    <cellStyle name="Comma 24 4 2" xfId="2718" xr:uid="{00000000-0005-0000-0000-000005030000}"/>
    <cellStyle name="Comma 24 5" xfId="2715" xr:uid="{00000000-0005-0000-0000-000006030000}"/>
    <cellStyle name="Comma 25" xfId="689" xr:uid="{00000000-0005-0000-0000-000007030000}"/>
    <cellStyle name="Comma 25 2" xfId="690" xr:uid="{00000000-0005-0000-0000-000008030000}"/>
    <cellStyle name="Comma 25 2 2" xfId="2720" xr:uid="{00000000-0005-0000-0000-000009030000}"/>
    <cellStyle name="Comma 25 3" xfId="691" xr:uid="{00000000-0005-0000-0000-00000A030000}"/>
    <cellStyle name="Comma 25 3 2" xfId="2721" xr:uid="{00000000-0005-0000-0000-00000B030000}"/>
    <cellStyle name="Comma 25 4" xfId="692" xr:uid="{00000000-0005-0000-0000-00000C030000}"/>
    <cellStyle name="Comma 25 4 2" xfId="2722" xr:uid="{00000000-0005-0000-0000-00000D030000}"/>
    <cellStyle name="Comma 25 5" xfId="2719" xr:uid="{00000000-0005-0000-0000-00000E030000}"/>
    <cellStyle name="Comma 26" xfId="693" xr:uid="{00000000-0005-0000-0000-00000F030000}"/>
    <cellStyle name="Comma 26 2" xfId="694" xr:uid="{00000000-0005-0000-0000-000010030000}"/>
    <cellStyle name="Comma 26 2 2" xfId="2724" xr:uid="{00000000-0005-0000-0000-000011030000}"/>
    <cellStyle name="Comma 26 3" xfId="695" xr:uid="{00000000-0005-0000-0000-000012030000}"/>
    <cellStyle name="Comma 26 3 2" xfId="2725" xr:uid="{00000000-0005-0000-0000-000013030000}"/>
    <cellStyle name="Comma 26 4" xfId="696" xr:uid="{00000000-0005-0000-0000-000014030000}"/>
    <cellStyle name="Comma 26 4 2" xfId="2726" xr:uid="{00000000-0005-0000-0000-000015030000}"/>
    <cellStyle name="Comma 26 5" xfId="2723" xr:uid="{00000000-0005-0000-0000-000016030000}"/>
    <cellStyle name="Comma 27" xfId="697" xr:uid="{00000000-0005-0000-0000-000017030000}"/>
    <cellStyle name="Comma 27 2" xfId="698" xr:uid="{00000000-0005-0000-0000-000018030000}"/>
    <cellStyle name="Comma 27 2 2" xfId="2728" xr:uid="{00000000-0005-0000-0000-000019030000}"/>
    <cellStyle name="Comma 27 3" xfId="699" xr:uid="{00000000-0005-0000-0000-00001A030000}"/>
    <cellStyle name="Comma 27 3 2" xfId="2729" xr:uid="{00000000-0005-0000-0000-00001B030000}"/>
    <cellStyle name="Comma 27 4" xfId="700" xr:uid="{00000000-0005-0000-0000-00001C030000}"/>
    <cellStyle name="Comma 27 4 2" xfId="2730" xr:uid="{00000000-0005-0000-0000-00001D030000}"/>
    <cellStyle name="Comma 27 5" xfId="2727" xr:uid="{00000000-0005-0000-0000-00001E030000}"/>
    <cellStyle name="Comma 28" xfId="701" xr:uid="{00000000-0005-0000-0000-00001F030000}"/>
    <cellStyle name="Comma 28 2" xfId="702" xr:uid="{00000000-0005-0000-0000-000020030000}"/>
    <cellStyle name="Comma 28 2 2" xfId="2732" xr:uid="{00000000-0005-0000-0000-000021030000}"/>
    <cellStyle name="Comma 28 3" xfId="703" xr:uid="{00000000-0005-0000-0000-000022030000}"/>
    <cellStyle name="Comma 28 3 2" xfId="2733" xr:uid="{00000000-0005-0000-0000-000023030000}"/>
    <cellStyle name="Comma 28 4" xfId="704" xr:uid="{00000000-0005-0000-0000-000024030000}"/>
    <cellStyle name="Comma 28 4 2" xfId="2734" xr:uid="{00000000-0005-0000-0000-000025030000}"/>
    <cellStyle name="Comma 28 5" xfId="2731" xr:uid="{00000000-0005-0000-0000-000026030000}"/>
    <cellStyle name="Comma 29" xfId="705" xr:uid="{00000000-0005-0000-0000-000027030000}"/>
    <cellStyle name="Comma 29 2" xfId="2735" xr:uid="{00000000-0005-0000-0000-000028030000}"/>
    <cellStyle name="Comma 3" xfId="706" xr:uid="{00000000-0005-0000-0000-000029030000}"/>
    <cellStyle name="Comma 3 10" xfId="707" xr:uid="{00000000-0005-0000-0000-00002A030000}"/>
    <cellStyle name="Comma 3 10 2" xfId="708" xr:uid="{00000000-0005-0000-0000-00002B030000}"/>
    <cellStyle name="Comma 3 10 2 2" xfId="2738" xr:uid="{00000000-0005-0000-0000-00002C030000}"/>
    <cellStyle name="Comma 3 10 3" xfId="709" xr:uid="{00000000-0005-0000-0000-00002D030000}"/>
    <cellStyle name="Comma 3 10 3 2" xfId="2739" xr:uid="{00000000-0005-0000-0000-00002E030000}"/>
    <cellStyle name="Comma 3 10 4" xfId="710" xr:uid="{00000000-0005-0000-0000-00002F030000}"/>
    <cellStyle name="Comma 3 10 4 2" xfId="2740" xr:uid="{00000000-0005-0000-0000-000030030000}"/>
    <cellStyle name="Comma 3 10 5" xfId="2737" xr:uid="{00000000-0005-0000-0000-000031030000}"/>
    <cellStyle name="Comma 3 11" xfId="711" xr:uid="{00000000-0005-0000-0000-000032030000}"/>
    <cellStyle name="Comma 3 11 2" xfId="712" xr:uid="{00000000-0005-0000-0000-000033030000}"/>
    <cellStyle name="Comma 3 11 2 2" xfId="2742" xr:uid="{00000000-0005-0000-0000-000034030000}"/>
    <cellStyle name="Comma 3 11 3" xfId="713" xr:uid="{00000000-0005-0000-0000-000035030000}"/>
    <cellStyle name="Comma 3 11 3 2" xfId="2743" xr:uid="{00000000-0005-0000-0000-000036030000}"/>
    <cellStyle name="Comma 3 11 4" xfId="714" xr:uid="{00000000-0005-0000-0000-000037030000}"/>
    <cellStyle name="Comma 3 11 4 2" xfId="2744" xr:uid="{00000000-0005-0000-0000-000038030000}"/>
    <cellStyle name="Comma 3 11 5" xfId="2741" xr:uid="{00000000-0005-0000-0000-000039030000}"/>
    <cellStyle name="Comma 3 12" xfId="715" xr:uid="{00000000-0005-0000-0000-00003A030000}"/>
    <cellStyle name="Comma 3 12 2" xfId="716" xr:uid="{00000000-0005-0000-0000-00003B030000}"/>
    <cellStyle name="Comma 3 12 2 2" xfId="2746" xr:uid="{00000000-0005-0000-0000-00003C030000}"/>
    <cellStyle name="Comma 3 12 3" xfId="717" xr:uid="{00000000-0005-0000-0000-00003D030000}"/>
    <cellStyle name="Comma 3 12 3 2" xfId="2747" xr:uid="{00000000-0005-0000-0000-00003E030000}"/>
    <cellStyle name="Comma 3 12 4" xfId="718" xr:uid="{00000000-0005-0000-0000-00003F030000}"/>
    <cellStyle name="Comma 3 12 4 2" xfId="2748" xr:uid="{00000000-0005-0000-0000-000040030000}"/>
    <cellStyle name="Comma 3 12 5" xfId="2745" xr:uid="{00000000-0005-0000-0000-000041030000}"/>
    <cellStyle name="Comma 3 13" xfId="719" xr:uid="{00000000-0005-0000-0000-000042030000}"/>
    <cellStyle name="Comma 3 13 2" xfId="720" xr:uid="{00000000-0005-0000-0000-000043030000}"/>
    <cellStyle name="Comma 3 13 2 2" xfId="2750" xr:uid="{00000000-0005-0000-0000-000044030000}"/>
    <cellStyle name="Comma 3 13 3" xfId="721" xr:uid="{00000000-0005-0000-0000-000045030000}"/>
    <cellStyle name="Comma 3 13 3 2" xfId="2751" xr:uid="{00000000-0005-0000-0000-000046030000}"/>
    <cellStyle name="Comma 3 13 4" xfId="722" xr:uid="{00000000-0005-0000-0000-000047030000}"/>
    <cellStyle name="Comma 3 13 4 2" xfId="2752" xr:uid="{00000000-0005-0000-0000-000048030000}"/>
    <cellStyle name="Comma 3 13 5" xfId="2749" xr:uid="{00000000-0005-0000-0000-000049030000}"/>
    <cellStyle name="Comma 3 14" xfId="723" xr:uid="{00000000-0005-0000-0000-00004A030000}"/>
    <cellStyle name="Comma 3 14 2" xfId="724" xr:uid="{00000000-0005-0000-0000-00004B030000}"/>
    <cellStyle name="Comma 3 14 2 2" xfId="2754" xr:uid="{00000000-0005-0000-0000-00004C030000}"/>
    <cellStyle name="Comma 3 14 3" xfId="725" xr:uid="{00000000-0005-0000-0000-00004D030000}"/>
    <cellStyle name="Comma 3 14 3 2" xfId="2755" xr:uid="{00000000-0005-0000-0000-00004E030000}"/>
    <cellStyle name="Comma 3 14 4" xfId="726" xr:uid="{00000000-0005-0000-0000-00004F030000}"/>
    <cellStyle name="Comma 3 14 4 2" xfId="2756" xr:uid="{00000000-0005-0000-0000-000050030000}"/>
    <cellStyle name="Comma 3 14 5" xfId="2753" xr:uid="{00000000-0005-0000-0000-000051030000}"/>
    <cellStyle name="Comma 3 15" xfId="727" xr:uid="{00000000-0005-0000-0000-000052030000}"/>
    <cellStyle name="Comma 3 15 2" xfId="728" xr:uid="{00000000-0005-0000-0000-000053030000}"/>
    <cellStyle name="Comma 3 15 2 2" xfId="2758" xr:uid="{00000000-0005-0000-0000-000054030000}"/>
    <cellStyle name="Comma 3 15 3" xfId="729" xr:uid="{00000000-0005-0000-0000-000055030000}"/>
    <cellStyle name="Comma 3 15 3 2" xfId="2759" xr:uid="{00000000-0005-0000-0000-000056030000}"/>
    <cellStyle name="Comma 3 15 4" xfId="730" xr:uid="{00000000-0005-0000-0000-000057030000}"/>
    <cellStyle name="Comma 3 15 4 2" xfId="2760" xr:uid="{00000000-0005-0000-0000-000058030000}"/>
    <cellStyle name="Comma 3 15 5" xfId="2757" xr:uid="{00000000-0005-0000-0000-000059030000}"/>
    <cellStyle name="Comma 3 16" xfId="731" xr:uid="{00000000-0005-0000-0000-00005A030000}"/>
    <cellStyle name="Comma 3 16 2" xfId="732" xr:uid="{00000000-0005-0000-0000-00005B030000}"/>
    <cellStyle name="Comma 3 16 2 2" xfId="2762" xr:uid="{00000000-0005-0000-0000-00005C030000}"/>
    <cellStyle name="Comma 3 16 3" xfId="733" xr:uid="{00000000-0005-0000-0000-00005D030000}"/>
    <cellStyle name="Comma 3 16 3 2" xfId="2763" xr:uid="{00000000-0005-0000-0000-00005E030000}"/>
    <cellStyle name="Comma 3 16 4" xfId="734" xr:uid="{00000000-0005-0000-0000-00005F030000}"/>
    <cellStyle name="Comma 3 16 4 2" xfId="2764" xr:uid="{00000000-0005-0000-0000-000060030000}"/>
    <cellStyle name="Comma 3 16 5" xfId="2761" xr:uid="{00000000-0005-0000-0000-000061030000}"/>
    <cellStyle name="Comma 3 17" xfId="735" xr:uid="{00000000-0005-0000-0000-000062030000}"/>
    <cellStyle name="Comma 3 17 2" xfId="736" xr:uid="{00000000-0005-0000-0000-000063030000}"/>
    <cellStyle name="Comma 3 17 2 2" xfId="2766" xr:uid="{00000000-0005-0000-0000-000064030000}"/>
    <cellStyle name="Comma 3 17 3" xfId="737" xr:uid="{00000000-0005-0000-0000-000065030000}"/>
    <cellStyle name="Comma 3 17 3 2" xfId="2767" xr:uid="{00000000-0005-0000-0000-000066030000}"/>
    <cellStyle name="Comma 3 17 4" xfId="738" xr:uid="{00000000-0005-0000-0000-000067030000}"/>
    <cellStyle name="Comma 3 17 4 2" xfId="2768" xr:uid="{00000000-0005-0000-0000-000068030000}"/>
    <cellStyle name="Comma 3 17 5" xfId="2765" xr:uid="{00000000-0005-0000-0000-000069030000}"/>
    <cellStyle name="Comma 3 18" xfId="739" xr:uid="{00000000-0005-0000-0000-00006A030000}"/>
    <cellStyle name="Comma 3 18 2" xfId="740" xr:uid="{00000000-0005-0000-0000-00006B030000}"/>
    <cellStyle name="Comma 3 18 2 2" xfId="2770" xr:uid="{00000000-0005-0000-0000-00006C030000}"/>
    <cellStyle name="Comma 3 18 3" xfId="741" xr:uid="{00000000-0005-0000-0000-00006D030000}"/>
    <cellStyle name="Comma 3 18 3 2" xfId="2771" xr:uid="{00000000-0005-0000-0000-00006E030000}"/>
    <cellStyle name="Comma 3 18 4" xfId="742" xr:uid="{00000000-0005-0000-0000-00006F030000}"/>
    <cellStyle name="Comma 3 18 4 2" xfId="2772" xr:uid="{00000000-0005-0000-0000-000070030000}"/>
    <cellStyle name="Comma 3 18 5" xfId="2769" xr:uid="{00000000-0005-0000-0000-000071030000}"/>
    <cellStyle name="Comma 3 19" xfId="743" xr:uid="{00000000-0005-0000-0000-000072030000}"/>
    <cellStyle name="Comma 3 19 2" xfId="744" xr:uid="{00000000-0005-0000-0000-000073030000}"/>
    <cellStyle name="Comma 3 19 2 2" xfId="2774" xr:uid="{00000000-0005-0000-0000-000074030000}"/>
    <cellStyle name="Comma 3 19 3" xfId="745" xr:uid="{00000000-0005-0000-0000-000075030000}"/>
    <cellStyle name="Comma 3 19 3 2" xfId="2775" xr:uid="{00000000-0005-0000-0000-000076030000}"/>
    <cellStyle name="Comma 3 19 4" xfId="746" xr:uid="{00000000-0005-0000-0000-000077030000}"/>
    <cellStyle name="Comma 3 19 4 2" xfId="2776" xr:uid="{00000000-0005-0000-0000-000078030000}"/>
    <cellStyle name="Comma 3 19 5" xfId="2773" xr:uid="{00000000-0005-0000-0000-000079030000}"/>
    <cellStyle name="Comma 3 2" xfId="747" xr:uid="{00000000-0005-0000-0000-00007A030000}"/>
    <cellStyle name="Comma 3 2 2" xfId="748" xr:uid="{00000000-0005-0000-0000-00007B030000}"/>
    <cellStyle name="Comma 3 2 2 2" xfId="2778" xr:uid="{00000000-0005-0000-0000-00007C030000}"/>
    <cellStyle name="Comma 3 2 3" xfId="749" xr:uid="{00000000-0005-0000-0000-00007D030000}"/>
    <cellStyle name="Comma 3 2 3 2" xfId="750" xr:uid="{00000000-0005-0000-0000-00007E030000}"/>
    <cellStyle name="Comma 3 2 3 2 2" xfId="2780" xr:uid="{00000000-0005-0000-0000-00007F030000}"/>
    <cellStyle name="Comma 3 2 3 3" xfId="751" xr:uid="{00000000-0005-0000-0000-000080030000}"/>
    <cellStyle name="Comma 3 2 3 3 2" xfId="2781" xr:uid="{00000000-0005-0000-0000-000081030000}"/>
    <cellStyle name="Comma 3 2 3 4" xfId="2779" xr:uid="{00000000-0005-0000-0000-000082030000}"/>
    <cellStyle name="Comma 3 2 4" xfId="2777" xr:uid="{00000000-0005-0000-0000-000083030000}"/>
    <cellStyle name="Comma 3 20" xfId="752" xr:uid="{00000000-0005-0000-0000-000084030000}"/>
    <cellStyle name="Comma 3 20 2" xfId="753" xr:uid="{00000000-0005-0000-0000-000085030000}"/>
    <cellStyle name="Comma 3 20 2 2" xfId="2783" xr:uid="{00000000-0005-0000-0000-000086030000}"/>
    <cellStyle name="Comma 3 20 3" xfId="754" xr:uid="{00000000-0005-0000-0000-000087030000}"/>
    <cellStyle name="Comma 3 20 3 2" xfId="2784" xr:uid="{00000000-0005-0000-0000-000088030000}"/>
    <cellStyle name="Comma 3 20 4" xfId="755" xr:uid="{00000000-0005-0000-0000-000089030000}"/>
    <cellStyle name="Comma 3 20 4 2" xfId="2785" xr:uid="{00000000-0005-0000-0000-00008A030000}"/>
    <cellStyle name="Comma 3 20 5" xfId="2782" xr:uid="{00000000-0005-0000-0000-00008B030000}"/>
    <cellStyle name="Comma 3 21" xfId="756" xr:uid="{00000000-0005-0000-0000-00008C030000}"/>
    <cellStyle name="Comma 3 21 2" xfId="757" xr:uid="{00000000-0005-0000-0000-00008D030000}"/>
    <cellStyle name="Comma 3 21 2 2" xfId="2787" xr:uid="{00000000-0005-0000-0000-00008E030000}"/>
    <cellStyle name="Comma 3 21 3" xfId="758" xr:uid="{00000000-0005-0000-0000-00008F030000}"/>
    <cellStyle name="Comma 3 21 3 2" xfId="2788" xr:uid="{00000000-0005-0000-0000-000090030000}"/>
    <cellStyle name="Comma 3 21 4" xfId="759" xr:uid="{00000000-0005-0000-0000-000091030000}"/>
    <cellStyle name="Comma 3 21 4 2" xfId="2789" xr:uid="{00000000-0005-0000-0000-000092030000}"/>
    <cellStyle name="Comma 3 21 5" xfId="2786" xr:uid="{00000000-0005-0000-0000-000093030000}"/>
    <cellStyle name="Comma 3 22" xfId="760" xr:uid="{00000000-0005-0000-0000-000094030000}"/>
    <cellStyle name="Comma 3 22 2" xfId="2790" xr:uid="{00000000-0005-0000-0000-000095030000}"/>
    <cellStyle name="Comma 3 23" xfId="761" xr:uid="{00000000-0005-0000-0000-000096030000}"/>
    <cellStyle name="Comma 3 23 2" xfId="2791" xr:uid="{00000000-0005-0000-0000-000097030000}"/>
    <cellStyle name="Comma 3 24" xfId="762" xr:uid="{00000000-0005-0000-0000-000098030000}"/>
    <cellStyle name="Comma 3 24 2" xfId="2792" xr:uid="{00000000-0005-0000-0000-000099030000}"/>
    <cellStyle name="Comma 3 25" xfId="2628" xr:uid="{00000000-0005-0000-0000-00009A030000}"/>
    <cellStyle name="Comma 3 25 2" xfId="3971" xr:uid="{00000000-0005-0000-0000-00009B030000}"/>
    <cellStyle name="Comma 3 26" xfId="2736" xr:uid="{00000000-0005-0000-0000-00009C030000}"/>
    <cellStyle name="Comma 3 3" xfId="763" xr:uid="{00000000-0005-0000-0000-00009D030000}"/>
    <cellStyle name="Comma 3 3 2" xfId="764" xr:uid="{00000000-0005-0000-0000-00009E030000}"/>
    <cellStyle name="Comma 3 3 2 2" xfId="2794" xr:uid="{00000000-0005-0000-0000-00009F030000}"/>
    <cellStyle name="Comma 3 3 3" xfId="765" xr:uid="{00000000-0005-0000-0000-0000A0030000}"/>
    <cellStyle name="Comma 3 3 3 2" xfId="2795" xr:uid="{00000000-0005-0000-0000-0000A1030000}"/>
    <cellStyle name="Comma 3 3 4" xfId="766" xr:uid="{00000000-0005-0000-0000-0000A2030000}"/>
    <cellStyle name="Comma 3 3 4 2" xfId="2796" xr:uid="{00000000-0005-0000-0000-0000A3030000}"/>
    <cellStyle name="Comma 3 3 5" xfId="2793" xr:uid="{00000000-0005-0000-0000-0000A4030000}"/>
    <cellStyle name="Comma 3 4" xfId="767" xr:uid="{00000000-0005-0000-0000-0000A5030000}"/>
    <cellStyle name="Comma 3 4 2" xfId="768" xr:uid="{00000000-0005-0000-0000-0000A6030000}"/>
    <cellStyle name="Comma 3 4 2 2" xfId="2798" xr:uid="{00000000-0005-0000-0000-0000A7030000}"/>
    <cellStyle name="Comma 3 4 3" xfId="769" xr:uid="{00000000-0005-0000-0000-0000A8030000}"/>
    <cellStyle name="Comma 3 4 3 2" xfId="2799" xr:uid="{00000000-0005-0000-0000-0000A9030000}"/>
    <cellStyle name="Comma 3 4 4" xfId="770" xr:uid="{00000000-0005-0000-0000-0000AA030000}"/>
    <cellStyle name="Comma 3 4 4 2" xfId="2800" xr:uid="{00000000-0005-0000-0000-0000AB030000}"/>
    <cellStyle name="Comma 3 4 5" xfId="2797" xr:uid="{00000000-0005-0000-0000-0000AC030000}"/>
    <cellStyle name="Comma 3 5" xfId="771" xr:uid="{00000000-0005-0000-0000-0000AD030000}"/>
    <cellStyle name="Comma 3 5 2" xfId="772" xr:uid="{00000000-0005-0000-0000-0000AE030000}"/>
    <cellStyle name="Comma 3 5 2 2" xfId="2802" xr:uid="{00000000-0005-0000-0000-0000AF030000}"/>
    <cellStyle name="Comma 3 5 3" xfId="773" xr:uid="{00000000-0005-0000-0000-0000B0030000}"/>
    <cellStyle name="Comma 3 5 3 2" xfId="2803" xr:uid="{00000000-0005-0000-0000-0000B1030000}"/>
    <cellStyle name="Comma 3 5 4" xfId="774" xr:uid="{00000000-0005-0000-0000-0000B2030000}"/>
    <cellStyle name="Comma 3 5 4 2" xfId="2804" xr:uid="{00000000-0005-0000-0000-0000B3030000}"/>
    <cellStyle name="Comma 3 5 5" xfId="2801" xr:uid="{00000000-0005-0000-0000-0000B4030000}"/>
    <cellStyle name="Comma 3 6" xfId="775" xr:uid="{00000000-0005-0000-0000-0000B5030000}"/>
    <cellStyle name="Comma 3 6 2" xfId="776" xr:uid="{00000000-0005-0000-0000-0000B6030000}"/>
    <cellStyle name="Comma 3 6 2 2" xfId="2806" xr:uid="{00000000-0005-0000-0000-0000B7030000}"/>
    <cellStyle name="Comma 3 6 3" xfId="777" xr:uid="{00000000-0005-0000-0000-0000B8030000}"/>
    <cellStyle name="Comma 3 6 3 2" xfId="2807" xr:uid="{00000000-0005-0000-0000-0000B9030000}"/>
    <cellStyle name="Comma 3 6 4" xfId="778" xr:uid="{00000000-0005-0000-0000-0000BA030000}"/>
    <cellStyle name="Comma 3 6 4 2" xfId="2808" xr:uid="{00000000-0005-0000-0000-0000BB030000}"/>
    <cellStyle name="Comma 3 6 5" xfId="2805" xr:uid="{00000000-0005-0000-0000-0000BC030000}"/>
    <cellStyle name="Comma 3 7" xfId="779" xr:uid="{00000000-0005-0000-0000-0000BD030000}"/>
    <cellStyle name="Comma 3 7 2" xfId="780" xr:uid="{00000000-0005-0000-0000-0000BE030000}"/>
    <cellStyle name="Comma 3 7 2 2" xfId="2810" xr:uid="{00000000-0005-0000-0000-0000BF030000}"/>
    <cellStyle name="Comma 3 7 3" xfId="781" xr:uid="{00000000-0005-0000-0000-0000C0030000}"/>
    <cellStyle name="Comma 3 7 3 2" xfId="2811" xr:uid="{00000000-0005-0000-0000-0000C1030000}"/>
    <cellStyle name="Comma 3 7 4" xfId="782" xr:uid="{00000000-0005-0000-0000-0000C2030000}"/>
    <cellStyle name="Comma 3 7 4 2" xfId="2812" xr:uid="{00000000-0005-0000-0000-0000C3030000}"/>
    <cellStyle name="Comma 3 7 5" xfId="2809" xr:uid="{00000000-0005-0000-0000-0000C4030000}"/>
    <cellStyle name="Comma 3 8" xfId="783" xr:uid="{00000000-0005-0000-0000-0000C5030000}"/>
    <cellStyle name="Comma 3 8 2" xfId="784" xr:uid="{00000000-0005-0000-0000-0000C6030000}"/>
    <cellStyle name="Comma 3 8 2 2" xfId="2814" xr:uid="{00000000-0005-0000-0000-0000C7030000}"/>
    <cellStyle name="Comma 3 8 3" xfId="785" xr:uid="{00000000-0005-0000-0000-0000C8030000}"/>
    <cellStyle name="Comma 3 8 3 2" xfId="2815" xr:uid="{00000000-0005-0000-0000-0000C9030000}"/>
    <cellStyle name="Comma 3 8 4" xfId="786" xr:uid="{00000000-0005-0000-0000-0000CA030000}"/>
    <cellStyle name="Comma 3 8 4 2" xfId="2816" xr:uid="{00000000-0005-0000-0000-0000CB030000}"/>
    <cellStyle name="Comma 3 8 5" xfId="2813" xr:uid="{00000000-0005-0000-0000-0000CC030000}"/>
    <cellStyle name="Comma 3 9" xfId="787" xr:uid="{00000000-0005-0000-0000-0000CD030000}"/>
    <cellStyle name="Comma 3 9 2" xfId="788" xr:uid="{00000000-0005-0000-0000-0000CE030000}"/>
    <cellStyle name="Comma 3 9 2 2" xfId="2818" xr:uid="{00000000-0005-0000-0000-0000CF030000}"/>
    <cellStyle name="Comma 3 9 3" xfId="789" xr:uid="{00000000-0005-0000-0000-0000D0030000}"/>
    <cellStyle name="Comma 3 9 3 2" xfId="2819" xr:uid="{00000000-0005-0000-0000-0000D1030000}"/>
    <cellStyle name="Comma 3 9 4" xfId="790" xr:uid="{00000000-0005-0000-0000-0000D2030000}"/>
    <cellStyle name="Comma 3 9 4 2" xfId="2820" xr:uid="{00000000-0005-0000-0000-0000D3030000}"/>
    <cellStyle name="Comma 3 9 5" xfId="2817" xr:uid="{00000000-0005-0000-0000-0000D4030000}"/>
    <cellStyle name="Comma 30" xfId="791" xr:uid="{00000000-0005-0000-0000-0000D5030000}"/>
    <cellStyle name="Comma 30 2" xfId="2821" xr:uid="{00000000-0005-0000-0000-0000D6030000}"/>
    <cellStyle name="Comma 31" xfId="792" xr:uid="{00000000-0005-0000-0000-0000D7030000}"/>
    <cellStyle name="Comma 31 2" xfId="2639" xr:uid="{00000000-0005-0000-0000-0000D8030000}"/>
    <cellStyle name="Comma 31 2 2" xfId="3974" xr:uid="{00000000-0005-0000-0000-0000D9030000}"/>
    <cellStyle name="Comma 31 3" xfId="2822" xr:uid="{00000000-0005-0000-0000-0000DA030000}"/>
    <cellStyle name="Comma 32" xfId="793" xr:uid="{00000000-0005-0000-0000-0000DB030000}"/>
    <cellStyle name="Comma 32 2" xfId="2823" xr:uid="{00000000-0005-0000-0000-0000DC030000}"/>
    <cellStyle name="Comma 33" xfId="2622" xr:uid="{00000000-0005-0000-0000-0000DD030000}"/>
    <cellStyle name="Comma 33 2" xfId="3969" xr:uid="{00000000-0005-0000-0000-0000DE030000}"/>
    <cellStyle name="Comma 34" xfId="2647" xr:uid="{00000000-0005-0000-0000-0000DF030000}"/>
    <cellStyle name="Comma 34 2" xfId="2654" xr:uid="{00000000-0005-0000-0000-0000E0030000}"/>
    <cellStyle name="Comma 34 2 2" xfId="3980" xr:uid="{00000000-0005-0000-0000-0000E1030000}"/>
    <cellStyle name="Comma 34 3" xfId="3977" xr:uid="{00000000-0005-0000-0000-0000E2030000}"/>
    <cellStyle name="Comma 35" xfId="2650" xr:uid="{00000000-0005-0000-0000-0000E3030000}"/>
    <cellStyle name="Comma 35 2" xfId="3978" xr:uid="{00000000-0005-0000-0000-0000E4030000}"/>
    <cellStyle name="Comma 36" xfId="11" xr:uid="{00000000-0005-0000-0000-0000E5030000}"/>
    <cellStyle name="Comma 4" xfId="794" xr:uid="{00000000-0005-0000-0000-0000E6030000}"/>
    <cellStyle name="Comma 4 10" xfId="795" xr:uid="{00000000-0005-0000-0000-0000E7030000}"/>
    <cellStyle name="Comma 4 10 2" xfId="796" xr:uid="{00000000-0005-0000-0000-0000E8030000}"/>
    <cellStyle name="Comma 4 10 2 2" xfId="2826" xr:uid="{00000000-0005-0000-0000-0000E9030000}"/>
    <cellStyle name="Comma 4 10 3" xfId="797" xr:uid="{00000000-0005-0000-0000-0000EA030000}"/>
    <cellStyle name="Comma 4 10 3 2" xfId="2827" xr:uid="{00000000-0005-0000-0000-0000EB030000}"/>
    <cellStyle name="Comma 4 10 4" xfId="798" xr:uid="{00000000-0005-0000-0000-0000EC030000}"/>
    <cellStyle name="Comma 4 10 4 2" xfId="2828" xr:uid="{00000000-0005-0000-0000-0000ED030000}"/>
    <cellStyle name="Comma 4 10 5" xfId="2825" xr:uid="{00000000-0005-0000-0000-0000EE030000}"/>
    <cellStyle name="Comma 4 11" xfId="799" xr:uid="{00000000-0005-0000-0000-0000EF030000}"/>
    <cellStyle name="Comma 4 11 2" xfId="800" xr:uid="{00000000-0005-0000-0000-0000F0030000}"/>
    <cellStyle name="Comma 4 11 2 2" xfId="2830" xr:uid="{00000000-0005-0000-0000-0000F1030000}"/>
    <cellStyle name="Comma 4 11 3" xfId="801" xr:uid="{00000000-0005-0000-0000-0000F2030000}"/>
    <cellStyle name="Comma 4 11 3 2" xfId="2831" xr:uid="{00000000-0005-0000-0000-0000F3030000}"/>
    <cellStyle name="Comma 4 11 4" xfId="802" xr:uid="{00000000-0005-0000-0000-0000F4030000}"/>
    <cellStyle name="Comma 4 11 4 2" xfId="2832" xr:uid="{00000000-0005-0000-0000-0000F5030000}"/>
    <cellStyle name="Comma 4 11 5" xfId="2829" xr:uid="{00000000-0005-0000-0000-0000F6030000}"/>
    <cellStyle name="Comma 4 12" xfId="803" xr:uid="{00000000-0005-0000-0000-0000F7030000}"/>
    <cellStyle name="Comma 4 12 2" xfId="804" xr:uid="{00000000-0005-0000-0000-0000F8030000}"/>
    <cellStyle name="Comma 4 12 2 2" xfId="2834" xr:uid="{00000000-0005-0000-0000-0000F9030000}"/>
    <cellStyle name="Comma 4 12 3" xfId="805" xr:uid="{00000000-0005-0000-0000-0000FA030000}"/>
    <cellStyle name="Comma 4 12 3 2" xfId="2835" xr:uid="{00000000-0005-0000-0000-0000FB030000}"/>
    <cellStyle name="Comma 4 12 4" xfId="806" xr:uid="{00000000-0005-0000-0000-0000FC030000}"/>
    <cellStyle name="Comma 4 12 4 2" xfId="2836" xr:uid="{00000000-0005-0000-0000-0000FD030000}"/>
    <cellStyle name="Comma 4 12 5" xfId="2833" xr:uid="{00000000-0005-0000-0000-0000FE030000}"/>
    <cellStyle name="Comma 4 13" xfId="807" xr:uid="{00000000-0005-0000-0000-0000FF030000}"/>
    <cellStyle name="Comma 4 13 2" xfId="808" xr:uid="{00000000-0005-0000-0000-000000040000}"/>
    <cellStyle name="Comma 4 13 2 2" xfId="2838" xr:uid="{00000000-0005-0000-0000-000001040000}"/>
    <cellStyle name="Comma 4 13 3" xfId="809" xr:uid="{00000000-0005-0000-0000-000002040000}"/>
    <cellStyle name="Comma 4 13 3 2" xfId="2839" xr:uid="{00000000-0005-0000-0000-000003040000}"/>
    <cellStyle name="Comma 4 13 4" xfId="810" xr:uid="{00000000-0005-0000-0000-000004040000}"/>
    <cellStyle name="Comma 4 13 4 2" xfId="2840" xr:uid="{00000000-0005-0000-0000-000005040000}"/>
    <cellStyle name="Comma 4 13 5" xfId="2837" xr:uid="{00000000-0005-0000-0000-000006040000}"/>
    <cellStyle name="Comma 4 14" xfId="811" xr:uid="{00000000-0005-0000-0000-000007040000}"/>
    <cellStyle name="Comma 4 14 2" xfId="812" xr:uid="{00000000-0005-0000-0000-000008040000}"/>
    <cellStyle name="Comma 4 14 2 2" xfId="2842" xr:uid="{00000000-0005-0000-0000-000009040000}"/>
    <cellStyle name="Comma 4 14 3" xfId="813" xr:uid="{00000000-0005-0000-0000-00000A040000}"/>
    <cellStyle name="Comma 4 14 3 2" xfId="2843" xr:uid="{00000000-0005-0000-0000-00000B040000}"/>
    <cellStyle name="Comma 4 14 4" xfId="814" xr:uid="{00000000-0005-0000-0000-00000C040000}"/>
    <cellStyle name="Comma 4 14 4 2" xfId="2844" xr:uid="{00000000-0005-0000-0000-00000D040000}"/>
    <cellStyle name="Comma 4 14 5" xfId="2841" xr:uid="{00000000-0005-0000-0000-00000E040000}"/>
    <cellStyle name="Comma 4 15" xfId="815" xr:uid="{00000000-0005-0000-0000-00000F040000}"/>
    <cellStyle name="Comma 4 15 2" xfId="816" xr:uid="{00000000-0005-0000-0000-000010040000}"/>
    <cellStyle name="Comma 4 15 2 2" xfId="2846" xr:uid="{00000000-0005-0000-0000-000011040000}"/>
    <cellStyle name="Comma 4 15 3" xfId="817" xr:uid="{00000000-0005-0000-0000-000012040000}"/>
    <cellStyle name="Comma 4 15 3 2" xfId="2847" xr:uid="{00000000-0005-0000-0000-000013040000}"/>
    <cellStyle name="Comma 4 15 4" xfId="818" xr:uid="{00000000-0005-0000-0000-000014040000}"/>
    <cellStyle name="Comma 4 15 4 2" xfId="2848" xr:uid="{00000000-0005-0000-0000-000015040000}"/>
    <cellStyle name="Comma 4 15 5" xfId="2845" xr:uid="{00000000-0005-0000-0000-000016040000}"/>
    <cellStyle name="Comma 4 16" xfId="819" xr:uid="{00000000-0005-0000-0000-000017040000}"/>
    <cellStyle name="Comma 4 16 2" xfId="820" xr:uid="{00000000-0005-0000-0000-000018040000}"/>
    <cellStyle name="Comma 4 16 2 2" xfId="2850" xr:uid="{00000000-0005-0000-0000-000019040000}"/>
    <cellStyle name="Comma 4 16 3" xfId="821" xr:uid="{00000000-0005-0000-0000-00001A040000}"/>
    <cellStyle name="Comma 4 16 3 2" xfId="2851" xr:uid="{00000000-0005-0000-0000-00001B040000}"/>
    <cellStyle name="Comma 4 16 4" xfId="822" xr:uid="{00000000-0005-0000-0000-00001C040000}"/>
    <cellStyle name="Comma 4 16 4 2" xfId="2852" xr:uid="{00000000-0005-0000-0000-00001D040000}"/>
    <cellStyle name="Comma 4 16 5" xfId="2849" xr:uid="{00000000-0005-0000-0000-00001E040000}"/>
    <cellStyle name="Comma 4 17" xfId="823" xr:uid="{00000000-0005-0000-0000-00001F040000}"/>
    <cellStyle name="Comma 4 17 2" xfId="824" xr:uid="{00000000-0005-0000-0000-000020040000}"/>
    <cellStyle name="Comma 4 17 2 2" xfId="2854" xr:uid="{00000000-0005-0000-0000-000021040000}"/>
    <cellStyle name="Comma 4 17 3" xfId="825" xr:uid="{00000000-0005-0000-0000-000022040000}"/>
    <cellStyle name="Comma 4 17 3 2" xfId="2855" xr:uid="{00000000-0005-0000-0000-000023040000}"/>
    <cellStyle name="Comma 4 17 4" xfId="826" xr:uid="{00000000-0005-0000-0000-000024040000}"/>
    <cellStyle name="Comma 4 17 4 2" xfId="2856" xr:uid="{00000000-0005-0000-0000-000025040000}"/>
    <cellStyle name="Comma 4 17 5" xfId="2853" xr:uid="{00000000-0005-0000-0000-000026040000}"/>
    <cellStyle name="Comma 4 18" xfId="827" xr:uid="{00000000-0005-0000-0000-000027040000}"/>
    <cellStyle name="Comma 4 18 2" xfId="828" xr:uid="{00000000-0005-0000-0000-000028040000}"/>
    <cellStyle name="Comma 4 18 2 2" xfId="2858" xr:uid="{00000000-0005-0000-0000-000029040000}"/>
    <cellStyle name="Comma 4 18 3" xfId="829" xr:uid="{00000000-0005-0000-0000-00002A040000}"/>
    <cellStyle name="Comma 4 18 3 2" xfId="2859" xr:uid="{00000000-0005-0000-0000-00002B040000}"/>
    <cellStyle name="Comma 4 18 4" xfId="830" xr:uid="{00000000-0005-0000-0000-00002C040000}"/>
    <cellStyle name="Comma 4 18 4 2" xfId="2860" xr:uid="{00000000-0005-0000-0000-00002D040000}"/>
    <cellStyle name="Comma 4 18 5" xfId="2857" xr:uid="{00000000-0005-0000-0000-00002E040000}"/>
    <cellStyle name="Comma 4 19" xfId="831" xr:uid="{00000000-0005-0000-0000-00002F040000}"/>
    <cellStyle name="Comma 4 19 2" xfId="832" xr:uid="{00000000-0005-0000-0000-000030040000}"/>
    <cellStyle name="Comma 4 19 2 2" xfId="2862" xr:uid="{00000000-0005-0000-0000-000031040000}"/>
    <cellStyle name="Comma 4 19 3" xfId="833" xr:uid="{00000000-0005-0000-0000-000032040000}"/>
    <cellStyle name="Comma 4 19 3 2" xfId="2863" xr:uid="{00000000-0005-0000-0000-000033040000}"/>
    <cellStyle name="Comma 4 19 4" xfId="834" xr:uid="{00000000-0005-0000-0000-000034040000}"/>
    <cellStyle name="Comma 4 19 4 2" xfId="2864" xr:uid="{00000000-0005-0000-0000-000035040000}"/>
    <cellStyle name="Comma 4 19 5" xfId="2861" xr:uid="{00000000-0005-0000-0000-000036040000}"/>
    <cellStyle name="Comma 4 2" xfId="835" xr:uid="{00000000-0005-0000-0000-000037040000}"/>
    <cellStyle name="Comma 4 2 2" xfId="836" xr:uid="{00000000-0005-0000-0000-000038040000}"/>
    <cellStyle name="Comma 4 2 2 2" xfId="2866" xr:uid="{00000000-0005-0000-0000-000039040000}"/>
    <cellStyle name="Comma 4 2 3" xfId="837" xr:uid="{00000000-0005-0000-0000-00003A040000}"/>
    <cellStyle name="Comma 4 2 3 2" xfId="838" xr:uid="{00000000-0005-0000-0000-00003B040000}"/>
    <cellStyle name="Comma 4 2 3 2 2" xfId="2868" xr:uid="{00000000-0005-0000-0000-00003C040000}"/>
    <cellStyle name="Comma 4 2 3 3" xfId="839" xr:uid="{00000000-0005-0000-0000-00003D040000}"/>
    <cellStyle name="Comma 4 2 3 3 2" xfId="2869" xr:uid="{00000000-0005-0000-0000-00003E040000}"/>
    <cellStyle name="Comma 4 2 3 4" xfId="2867" xr:uid="{00000000-0005-0000-0000-00003F040000}"/>
    <cellStyle name="Comma 4 2 4" xfId="2865" xr:uid="{00000000-0005-0000-0000-000040040000}"/>
    <cellStyle name="Comma 4 20" xfId="840" xr:uid="{00000000-0005-0000-0000-000041040000}"/>
    <cellStyle name="Comma 4 20 2" xfId="841" xr:uid="{00000000-0005-0000-0000-000042040000}"/>
    <cellStyle name="Comma 4 20 2 2" xfId="2871" xr:uid="{00000000-0005-0000-0000-000043040000}"/>
    <cellStyle name="Comma 4 20 3" xfId="842" xr:uid="{00000000-0005-0000-0000-000044040000}"/>
    <cellStyle name="Comma 4 20 3 2" xfId="2872" xr:uid="{00000000-0005-0000-0000-000045040000}"/>
    <cellStyle name="Comma 4 20 4" xfId="843" xr:uid="{00000000-0005-0000-0000-000046040000}"/>
    <cellStyle name="Comma 4 20 4 2" xfId="2873" xr:uid="{00000000-0005-0000-0000-000047040000}"/>
    <cellStyle name="Comma 4 20 5" xfId="2870" xr:uid="{00000000-0005-0000-0000-000048040000}"/>
    <cellStyle name="Comma 4 21" xfId="844" xr:uid="{00000000-0005-0000-0000-000049040000}"/>
    <cellStyle name="Comma 4 21 2" xfId="845" xr:uid="{00000000-0005-0000-0000-00004A040000}"/>
    <cellStyle name="Comma 4 21 2 2" xfId="2875" xr:uid="{00000000-0005-0000-0000-00004B040000}"/>
    <cellStyle name="Comma 4 21 3" xfId="846" xr:uid="{00000000-0005-0000-0000-00004C040000}"/>
    <cellStyle name="Comma 4 21 3 2" xfId="2876" xr:uid="{00000000-0005-0000-0000-00004D040000}"/>
    <cellStyle name="Comma 4 21 4" xfId="847" xr:uid="{00000000-0005-0000-0000-00004E040000}"/>
    <cellStyle name="Comma 4 21 4 2" xfId="2877" xr:uid="{00000000-0005-0000-0000-00004F040000}"/>
    <cellStyle name="Comma 4 21 5" xfId="2874" xr:uid="{00000000-0005-0000-0000-000050040000}"/>
    <cellStyle name="Comma 4 22" xfId="848" xr:uid="{00000000-0005-0000-0000-000051040000}"/>
    <cellStyle name="Comma 4 22 2" xfId="2878" xr:uid="{00000000-0005-0000-0000-000052040000}"/>
    <cellStyle name="Comma 4 23" xfId="849" xr:uid="{00000000-0005-0000-0000-000053040000}"/>
    <cellStyle name="Comma 4 23 2" xfId="2879" xr:uid="{00000000-0005-0000-0000-000054040000}"/>
    <cellStyle name="Comma 4 24" xfId="850" xr:uid="{00000000-0005-0000-0000-000055040000}"/>
    <cellStyle name="Comma 4 24 2" xfId="2880" xr:uid="{00000000-0005-0000-0000-000056040000}"/>
    <cellStyle name="Comma 4 25" xfId="2824" xr:uid="{00000000-0005-0000-0000-000057040000}"/>
    <cellStyle name="Comma 4 3" xfId="851" xr:uid="{00000000-0005-0000-0000-000058040000}"/>
    <cellStyle name="Comma 4 3 2" xfId="852" xr:uid="{00000000-0005-0000-0000-000059040000}"/>
    <cellStyle name="Comma 4 3 2 2" xfId="2882" xr:uid="{00000000-0005-0000-0000-00005A040000}"/>
    <cellStyle name="Comma 4 3 3" xfId="853" xr:uid="{00000000-0005-0000-0000-00005B040000}"/>
    <cellStyle name="Comma 4 3 3 2" xfId="2883" xr:uid="{00000000-0005-0000-0000-00005C040000}"/>
    <cellStyle name="Comma 4 3 4" xfId="854" xr:uid="{00000000-0005-0000-0000-00005D040000}"/>
    <cellStyle name="Comma 4 3 4 2" xfId="2884" xr:uid="{00000000-0005-0000-0000-00005E040000}"/>
    <cellStyle name="Comma 4 3 5" xfId="2881" xr:uid="{00000000-0005-0000-0000-00005F040000}"/>
    <cellStyle name="Comma 4 4" xfId="855" xr:uid="{00000000-0005-0000-0000-000060040000}"/>
    <cellStyle name="Comma 4 4 2" xfId="856" xr:uid="{00000000-0005-0000-0000-000061040000}"/>
    <cellStyle name="Comma 4 4 2 2" xfId="2886" xr:uid="{00000000-0005-0000-0000-000062040000}"/>
    <cellStyle name="Comma 4 4 3" xfId="857" xr:uid="{00000000-0005-0000-0000-000063040000}"/>
    <cellStyle name="Comma 4 4 3 2" xfId="2887" xr:uid="{00000000-0005-0000-0000-000064040000}"/>
    <cellStyle name="Comma 4 4 4" xfId="858" xr:uid="{00000000-0005-0000-0000-000065040000}"/>
    <cellStyle name="Comma 4 4 4 2" xfId="2888" xr:uid="{00000000-0005-0000-0000-000066040000}"/>
    <cellStyle name="Comma 4 4 5" xfId="2885" xr:uid="{00000000-0005-0000-0000-000067040000}"/>
    <cellStyle name="Comma 4 5" xfId="859" xr:uid="{00000000-0005-0000-0000-000068040000}"/>
    <cellStyle name="Comma 4 5 2" xfId="860" xr:uid="{00000000-0005-0000-0000-000069040000}"/>
    <cellStyle name="Comma 4 5 2 2" xfId="2890" xr:uid="{00000000-0005-0000-0000-00006A040000}"/>
    <cellStyle name="Comma 4 5 3" xfId="861" xr:uid="{00000000-0005-0000-0000-00006B040000}"/>
    <cellStyle name="Comma 4 5 3 2" xfId="2891" xr:uid="{00000000-0005-0000-0000-00006C040000}"/>
    <cellStyle name="Comma 4 5 4" xfId="862" xr:uid="{00000000-0005-0000-0000-00006D040000}"/>
    <cellStyle name="Comma 4 5 4 2" xfId="2892" xr:uid="{00000000-0005-0000-0000-00006E040000}"/>
    <cellStyle name="Comma 4 5 5" xfId="2889" xr:uid="{00000000-0005-0000-0000-00006F040000}"/>
    <cellStyle name="Comma 4 6" xfId="863" xr:uid="{00000000-0005-0000-0000-000070040000}"/>
    <cellStyle name="Comma 4 6 2" xfId="864" xr:uid="{00000000-0005-0000-0000-000071040000}"/>
    <cellStyle name="Comma 4 6 2 2" xfId="2894" xr:uid="{00000000-0005-0000-0000-000072040000}"/>
    <cellStyle name="Comma 4 6 3" xfId="865" xr:uid="{00000000-0005-0000-0000-000073040000}"/>
    <cellStyle name="Comma 4 6 3 2" xfId="2895" xr:uid="{00000000-0005-0000-0000-000074040000}"/>
    <cellStyle name="Comma 4 6 4" xfId="866" xr:uid="{00000000-0005-0000-0000-000075040000}"/>
    <cellStyle name="Comma 4 6 4 2" xfId="2896" xr:uid="{00000000-0005-0000-0000-000076040000}"/>
    <cellStyle name="Comma 4 6 5" xfId="2893" xr:uid="{00000000-0005-0000-0000-000077040000}"/>
    <cellStyle name="Comma 4 7" xfId="867" xr:uid="{00000000-0005-0000-0000-000078040000}"/>
    <cellStyle name="Comma 4 7 2" xfId="868" xr:uid="{00000000-0005-0000-0000-000079040000}"/>
    <cellStyle name="Comma 4 7 2 2" xfId="2898" xr:uid="{00000000-0005-0000-0000-00007A040000}"/>
    <cellStyle name="Comma 4 7 3" xfId="869" xr:uid="{00000000-0005-0000-0000-00007B040000}"/>
    <cellStyle name="Comma 4 7 3 2" xfId="2899" xr:uid="{00000000-0005-0000-0000-00007C040000}"/>
    <cellStyle name="Comma 4 7 4" xfId="870" xr:uid="{00000000-0005-0000-0000-00007D040000}"/>
    <cellStyle name="Comma 4 7 4 2" xfId="2900" xr:uid="{00000000-0005-0000-0000-00007E040000}"/>
    <cellStyle name="Comma 4 7 5" xfId="2897" xr:uid="{00000000-0005-0000-0000-00007F040000}"/>
    <cellStyle name="Comma 4 8" xfId="871" xr:uid="{00000000-0005-0000-0000-000080040000}"/>
    <cellStyle name="Comma 4 8 2" xfId="872" xr:uid="{00000000-0005-0000-0000-000081040000}"/>
    <cellStyle name="Comma 4 8 2 2" xfId="2902" xr:uid="{00000000-0005-0000-0000-000082040000}"/>
    <cellStyle name="Comma 4 8 3" xfId="873" xr:uid="{00000000-0005-0000-0000-000083040000}"/>
    <cellStyle name="Comma 4 8 3 2" xfId="2903" xr:uid="{00000000-0005-0000-0000-000084040000}"/>
    <cellStyle name="Comma 4 8 4" xfId="874" xr:uid="{00000000-0005-0000-0000-000085040000}"/>
    <cellStyle name="Comma 4 8 4 2" xfId="2904" xr:uid="{00000000-0005-0000-0000-000086040000}"/>
    <cellStyle name="Comma 4 8 5" xfId="2901" xr:uid="{00000000-0005-0000-0000-000087040000}"/>
    <cellStyle name="Comma 4 9" xfId="875" xr:uid="{00000000-0005-0000-0000-000088040000}"/>
    <cellStyle name="Comma 4 9 2" xfId="876" xr:uid="{00000000-0005-0000-0000-000089040000}"/>
    <cellStyle name="Comma 4 9 2 2" xfId="2906" xr:uid="{00000000-0005-0000-0000-00008A040000}"/>
    <cellStyle name="Comma 4 9 3" xfId="877" xr:uid="{00000000-0005-0000-0000-00008B040000}"/>
    <cellStyle name="Comma 4 9 3 2" xfId="2907" xr:uid="{00000000-0005-0000-0000-00008C040000}"/>
    <cellStyle name="Comma 4 9 4" xfId="878" xr:uid="{00000000-0005-0000-0000-00008D040000}"/>
    <cellStyle name="Comma 4 9 4 2" xfId="2908" xr:uid="{00000000-0005-0000-0000-00008E040000}"/>
    <cellStyle name="Comma 4 9 5" xfId="2905" xr:uid="{00000000-0005-0000-0000-00008F040000}"/>
    <cellStyle name="Comma 5" xfId="879" xr:uid="{00000000-0005-0000-0000-000090040000}"/>
    <cellStyle name="Comma 5 10" xfId="880" xr:uid="{00000000-0005-0000-0000-000091040000}"/>
    <cellStyle name="Comma 5 10 2" xfId="881" xr:uid="{00000000-0005-0000-0000-000092040000}"/>
    <cellStyle name="Comma 5 10 2 2" xfId="2910" xr:uid="{00000000-0005-0000-0000-000093040000}"/>
    <cellStyle name="Comma 5 10 3" xfId="882" xr:uid="{00000000-0005-0000-0000-000094040000}"/>
    <cellStyle name="Comma 5 10 3 2" xfId="2911" xr:uid="{00000000-0005-0000-0000-000095040000}"/>
    <cellStyle name="Comma 5 10 4" xfId="883" xr:uid="{00000000-0005-0000-0000-000096040000}"/>
    <cellStyle name="Comma 5 10 4 2" xfId="2912" xr:uid="{00000000-0005-0000-0000-000097040000}"/>
    <cellStyle name="Comma 5 10 5" xfId="2909" xr:uid="{00000000-0005-0000-0000-000098040000}"/>
    <cellStyle name="Comma 5 11" xfId="884" xr:uid="{00000000-0005-0000-0000-000099040000}"/>
    <cellStyle name="Comma 5 11 2" xfId="885" xr:uid="{00000000-0005-0000-0000-00009A040000}"/>
    <cellStyle name="Comma 5 11 2 2" xfId="2914" xr:uid="{00000000-0005-0000-0000-00009B040000}"/>
    <cellStyle name="Comma 5 11 3" xfId="886" xr:uid="{00000000-0005-0000-0000-00009C040000}"/>
    <cellStyle name="Comma 5 11 3 2" xfId="2915" xr:uid="{00000000-0005-0000-0000-00009D040000}"/>
    <cellStyle name="Comma 5 11 4" xfId="887" xr:uid="{00000000-0005-0000-0000-00009E040000}"/>
    <cellStyle name="Comma 5 11 4 2" xfId="2916" xr:uid="{00000000-0005-0000-0000-00009F040000}"/>
    <cellStyle name="Comma 5 11 5" xfId="2913" xr:uid="{00000000-0005-0000-0000-0000A0040000}"/>
    <cellStyle name="Comma 5 12" xfId="888" xr:uid="{00000000-0005-0000-0000-0000A1040000}"/>
    <cellStyle name="Comma 5 12 2" xfId="889" xr:uid="{00000000-0005-0000-0000-0000A2040000}"/>
    <cellStyle name="Comma 5 12 2 2" xfId="2918" xr:uid="{00000000-0005-0000-0000-0000A3040000}"/>
    <cellStyle name="Comma 5 12 3" xfId="890" xr:uid="{00000000-0005-0000-0000-0000A4040000}"/>
    <cellStyle name="Comma 5 12 3 2" xfId="2919" xr:uid="{00000000-0005-0000-0000-0000A5040000}"/>
    <cellStyle name="Comma 5 12 4" xfId="891" xr:uid="{00000000-0005-0000-0000-0000A6040000}"/>
    <cellStyle name="Comma 5 12 4 2" xfId="2920" xr:uid="{00000000-0005-0000-0000-0000A7040000}"/>
    <cellStyle name="Comma 5 12 5" xfId="2917" xr:uid="{00000000-0005-0000-0000-0000A8040000}"/>
    <cellStyle name="Comma 5 13" xfId="892" xr:uid="{00000000-0005-0000-0000-0000A9040000}"/>
    <cellStyle name="Comma 5 13 2" xfId="893" xr:uid="{00000000-0005-0000-0000-0000AA040000}"/>
    <cellStyle name="Comma 5 13 2 2" xfId="2922" xr:uid="{00000000-0005-0000-0000-0000AB040000}"/>
    <cellStyle name="Comma 5 13 3" xfId="894" xr:uid="{00000000-0005-0000-0000-0000AC040000}"/>
    <cellStyle name="Comma 5 13 3 2" xfId="2923" xr:uid="{00000000-0005-0000-0000-0000AD040000}"/>
    <cellStyle name="Comma 5 13 4" xfId="895" xr:uid="{00000000-0005-0000-0000-0000AE040000}"/>
    <cellStyle name="Comma 5 13 4 2" xfId="2924" xr:uid="{00000000-0005-0000-0000-0000AF040000}"/>
    <cellStyle name="Comma 5 13 5" xfId="2921" xr:uid="{00000000-0005-0000-0000-0000B0040000}"/>
    <cellStyle name="Comma 5 14" xfId="896" xr:uid="{00000000-0005-0000-0000-0000B1040000}"/>
    <cellStyle name="Comma 5 14 2" xfId="897" xr:uid="{00000000-0005-0000-0000-0000B2040000}"/>
    <cellStyle name="Comma 5 14 2 2" xfId="2926" xr:uid="{00000000-0005-0000-0000-0000B3040000}"/>
    <cellStyle name="Comma 5 14 3" xfId="898" xr:uid="{00000000-0005-0000-0000-0000B4040000}"/>
    <cellStyle name="Comma 5 14 3 2" xfId="2927" xr:uid="{00000000-0005-0000-0000-0000B5040000}"/>
    <cellStyle name="Comma 5 14 4" xfId="899" xr:uid="{00000000-0005-0000-0000-0000B6040000}"/>
    <cellStyle name="Comma 5 14 4 2" xfId="2928" xr:uid="{00000000-0005-0000-0000-0000B7040000}"/>
    <cellStyle name="Comma 5 14 5" xfId="2925" xr:uid="{00000000-0005-0000-0000-0000B8040000}"/>
    <cellStyle name="Comma 5 15" xfId="900" xr:uid="{00000000-0005-0000-0000-0000B9040000}"/>
    <cellStyle name="Comma 5 15 2" xfId="901" xr:uid="{00000000-0005-0000-0000-0000BA040000}"/>
    <cellStyle name="Comma 5 15 2 2" xfId="2930" xr:uid="{00000000-0005-0000-0000-0000BB040000}"/>
    <cellStyle name="Comma 5 15 3" xfId="902" xr:uid="{00000000-0005-0000-0000-0000BC040000}"/>
    <cellStyle name="Comma 5 15 3 2" xfId="2931" xr:uid="{00000000-0005-0000-0000-0000BD040000}"/>
    <cellStyle name="Comma 5 15 4" xfId="903" xr:uid="{00000000-0005-0000-0000-0000BE040000}"/>
    <cellStyle name="Comma 5 15 4 2" xfId="2932" xr:uid="{00000000-0005-0000-0000-0000BF040000}"/>
    <cellStyle name="Comma 5 15 5" xfId="2929" xr:uid="{00000000-0005-0000-0000-0000C0040000}"/>
    <cellStyle name="Comma 5 16" xfId="904" xr:uid="{00000000-0005-0000-0000-0000C1040000}"/>
    <cellStyle name="Comma 5 16 2" xfId="905" xr:uid="{00000000-0005-0000-0000-0000C2040000}"/>
    <cellStyle name="Comma 5 16 2 2" xfId="2934" xr:uid="{00000000-0005-0000-0000-0000C3040000}"/>
    <cellStyle name="Comma 5 16 3" xfId="906" xr:uid="{00000000-0005-0000-0000-0000C4040000}"/>
    <cellStyle name="Comma 5 16 3 2" xfId="2935" xr:uid="{00000000-0005-0000-0000-0000C5040000}"/>
    <cellStyle name="Comma 5 16 4" xfId="907" xr:uid="{00000000-0005-0000-0000-0000C6040000}"/>
    <cellStyle name="Comma 5 16 4 2" xfId="2936" xr:uid="{00000000-0005-0000-0000-0000C7040000}"/>
    <cellStyle name="Comma 5 16 5" xfId="2933" xr:uid="{00000000-0005-0000-0000-0000C8040000}"/>
    <cellStyle name="Comma 5 17" xfId="908" xr:uid="{00000000-0005-0000-0000-0000C9040000}"/>
    <cellStyle name="Comma 5 17 2" xfId="909" xr:uid="{00000000-0005-0000-0000-0000CA040000}"/>
    <cellStyle name="Comma 5 17 2 2" xfId="2938" xr:uid="{00000000-0005-0000-0000-0000CB040000}"/>
    <cellStyle name="Comma 5 17 3" xfId="910" xr:uid="{00000000-0005-0000-0000-0000CC040000}"/>
    <cellStyle name="Comma 5 17 3 2" xfId="2939" xr:uid="{00000000-0005-0000-0000-0000CD040000}"/>
    <cellStyle name="Comma 5 17 4" xfId="911" xr:uid="{00000000-0005-0000-0000-0000CE040000}"/>
    <cellStyle name="Comma 5 17 4 2" xfId="2940" xr:uid="{00000000-0005-0000-0000-0000CF040000}"/>
    <cellStyle name="Comma 5 17 5" xfId="2937" xr:uid="{00000000-0005-0000-0000-0000D0040000}"/>
    <cellStyle name="Comma 5 18" xfId="912" xr:uid="{00000000-0005-0000-0000-0000D1040000}"/>
    <cellStyle name="Comma 5 18 2" xfId="913" xr:uid="{00000000-0005-0000-0000-0000D2040000}"/>
    <cellStyle name="Comma 5 18 2 2" xfId="2942" xr:uid="{00000000-0005-0000-0000-0000D3040000}"/>
    <cellStyle name="Comma 5 18 3" xfId="914" xr:uid="{00000000-0005-0000-0000-0000D4040000}"/>
    <cellStyle name="Comma 5 18 3 2" xfId="2943" xr:uid="{00000000-0005-0000-0000-0000D5040000}"/>
    <cellStyle name="Comma 5 18 4" xfId="915" xr:uid="{00000000-0005-0000-0000-0000D6040000}"/>
    <cellStyle name="Comma 5 18 4 2" xfId="2944" xr:uid="{00000000-0005-0000-0000-0000D7040000}"/>
    <cellStyle name="Comma 5 18 5" xfId="2941" xr:uid="{00000000-0005-0000-0000-0000D8040000}"/>
    <cellStyle name="Comma 5 19" xfId="916" xr:uid="{00000000-0005-0000-0000-0000D9040000}"/>
    <cellStyle name="Comma 5 19 2" xfId="917" xr:uid="{00000000-0005-0000-0000-0000DA040000}"/>
    <cellStyle name="Comma 5 19 2 2" xfId="2946" xr:uid="{00000000-0005-0000-0000-0000DB040000}"/>
    <cellStyle name="Comma 5 19 3" xfId="918" xr:uid="{00000000-0005-0000-0000-0000DC040000}"/>
    <cellStyle name="Comma 5 19 3 2" xfId="2947" xr:uid="{00000000-0005-0000-0000-0000DD040000}"/>
    <cellStyle name="Comma 5 19 4" xfId="919" xr:uid="{00000000-0005-0000-0000-0000DE040000}"/>
    <cellStyle name="Comma 5 19 4 2" xfId="2948" xr:uid="{00000000-0005-0000-0000-0000DF040000}"/>
    <cellStyle name="Comma 5 19 5" xfId="2945" xr:uid="{00000000-0005-0000-0000-0000E0040000}"/>
    <cellStyle name="Comma 5 2" xfId="920" xr:uid="{00000000-0005-0000-0000-0000E1040000}"/>
    <cellStyle name="Comma 5 2 10" xfId="921" xr:uid="{00000000-0005-0000-0000-0000E2040000}"/>
    <cellStyle name="Comma 5 2 10 2" xfId="922" xr:uid="{00000000-0005-0000-0000-0000E3040000}"/>
    <cellStyle name="Comma 5 2 10 2 2" xfId="2950" xr:uid="{00000000-0005-0000-0000-0000E4040000}"/>
    <cellStyle name="Comma 5 2 10 3" xfId="923" xr:uid="{00000000-0005-0000-0000-0000E5040000}"/>
    <cellStyle name="Comma 5 2 10 3 2" xfId="2951" xr:uid="{00000000-0005-0000-0000-0000E6040000}"/>
    <cellStyle name="Comma 5 2 10 4" xfId="924" xr:uid="{00000000-0005-0000-0000-0000E7040000}"/>
    <cellStyle name="Comma 5 2 10 4 2" xfId="2952" xr:uid="{00000000-0005-0000-0000-0000E8040000}"/>
    <cellStyle name="Comma 5 2 10 5" xfId="2949" xr:uid="{00000000-0005-0000-0000-0000E9040000}"/>
    <cellStyle name="Comma 5 2 11" xfId="925" xr:uid="{00000000-0005-0000-0000-0000EA040000}"/>
    <cellStyle name="Comma 5 2 11 2" xfId="926" xr:uid="{00000000-0005-0000-0000-0000EB040000}"/>
    <cellStyle name="Comma 5 2 11 2 2" xfId="2954" xr:uid="{00000000-0005-0000-0000-0000EC040000}"/>
    <cellStyle name="Comma 5 2 11 3" xfId="927" xr:uid="{00000000-0005-0000-0000-0000ED040000}"/>
    <cellStyle name="Comma 5 2 11 3 2" xfId="2955" xr:uid="{00000000-0005-0000-0000-0000EE040000}"/>
    <cellStyle name="Comma 5 2 11 4" xfId="928" xr:uid="{00000000-0005-0000-0000-0000EF040000}"/>
    <cellStyle name="Comma 5 2 11 4 2" xfId="2956" xr:uid="{00000000-0005-0000-0000-0000F0040000}"/>
    <cellStyle name="Comma 5 2 11 5" xfId="2953" xr:uid="{00000000-0005-0000-0000-0000F1040000}"/>
    <cellStyle name="Comma 5 2 12" xfId="929" xr:uid="{00000000-0005-0000-0000-0000F2040000}"/>
    <cellStyle name="Comma 5 2 12 2" xfId="930" xr:uid="{00000000-0005-0000-0000-0000F3040000}"/>
    <cellStyle name="Comma 5 2 12 2 2" xfId="2958" xr:uid="{00000000-0005-0000-0000-0000F4040000}"/>
    <cellStyle name="Comma 5 2 12 3" xfId="931" xr:uid="{00000000-0005-0000-0000-0000F5040000}"/>
    <cellStyle name="Comma 5 2 12 3 2" xfId="2959" xr:uid="{00000000-0005-0000-0000-0000F6040000}"/>
    <cellStyle name="Comma 5 2 12 4" xfId="932" xr:uid="{00000000-0005-0000-0000-0000F7040000}"/>
    <cellStyle name="Comma 5 2 12 4 2" xfId="2960" xr:uid="{00000000-0005-0000-0000-0000F8040000}"/>
    <cellStyle name="Comma 5 2 12 5" xfId="2957" xr:uid="{00000000-0005-0000-0000-0000F9040000}"/>
    <cellStyle name="Comma 5 2 13" xfId="933" xr:uid="{00000000-0005-0000-0000-0000FA040000}"/>
    <cellStyle name="Comma 5 2 13 2" xfId="934" xr:uid="{00000000-0005-0000-0000-0000FB040000}"/>
    <cellStyle name="Comma 5 2 13 2 2" xfId="2962" xr:uid="{00000000-0005-0000-0000-0000FC040000}"/>
    <cellStyle name="Comma 5 2 13 3" xfId="935" xr:uid="{00000000-0005-0000-0000-0000FD040000}"/>
    <cellStyle name="Comma 5 2 13 3 2" xfId="2963" xr:uid="{00000000-0005-0000-0000-0000FE040000}"/>
    <cellStyle name="Comma 5 2 13 4" xfId="936" xr:uid="{00000000-0005-0000-0000-0000FF040000}"/>
    <cellStyle name="Comma 5 2 13 4 2" xfId="2964" xr:uid="{00000000-0005-0000-0000-000000050000}"/>
    <cellStyle name="Comma 5 2 13 5" xfId="2961" xr:uid="{00000000-0005-0000-0000-000001050000}"/>
    <cellStyle name="Comma 5 2 14" xfId="937" xr:uid="{00000000-0005-0000-0000-000002050000}"/>
    <cellStyle name="Comma 5 2 14 2" xfId="938" xr:uid="{00000000-0005-0000-0000-000003050000}"/>
    <cellStyle name="Comma 5 2 14 2 2" xfId="2966" xr:uid="{00000000-0005-0000-0000-000004050000}"/>
    <cellStyle name="Comma 5 2 14 3" xfId="939" xr:uid="{00000000-0005-0000-0000-000005050000}"/>
    <cellStyle name="Comma 5 2 14 3 2" xfId="2967" xr:uid="{00000000-0005-0000-0000-000006050000}"/>
    <cellStyle name="Comma 5 2 14 4" xfId="940" xr:uid="{00000000-0005-0000-0000-000007050000}"/>
    <cellStyle name="Comma 5 2 14 4 2" xfId="2968" xr:uid="{00000000-0005-0000-0000-000008050000}"/>
    <cellStyle name="Comma 5 2 14 5" xfId="2965" xr:uid="{00000000-0005-0000-0000-000009050000}"/>
    <cellStyle name="Comma 5 2 15" xfId="941" xr:uid="{00000000-0005-0000-0000-00000A050000}"/>
    <cellStyle name="Comma 5 2 15 2" xfId="942" xr:uid="{00000000-0005-0000-0000-00000B050000}"/>
    <cellStyle name="Comma 5 2 15 2 2" xfId="2970" xr:uid="{00000000-0005-0000-0000-00000C050000}"/>
    <cellStyle name="Comma 5 2 15 3" xfId="943" xr:uid="{00000000-0005-0000-0000-00000D050000}"/>
    <cellStyle name="Comma 5 2 15 3 2" xfId="2971" xr:uid="{00000000-0005-0000-0000-00000E050000}"/>
    <cellStyle name="Comma 5 2 15 4" xfId="2969" xr:uid="{00000000-0005-0000-0000-00000F050000}"/>
    <cellStyle name="Comma 5 2 16" xfId="944" xr:uid="{00000000-0005-0000-0000-000010050000}"/>
    <cellStyle name="Comma 5 2 16 2" xfId="2972" xr:uid="{00000000-0005-0000-0000-000011050000}"/>
    <cellStyle name="Comma 5 2 17" xfId="945" xr:uid="{00000000-0005-0000-0000-000012050000}"/>
    <cellStyle name="Comma 5 2 17 2" xfId="2973" xr:uid="{00000000-0005-0000-0000-000013050000}"/>
    <cellStyle name="Comma 5 2 18" xfId="946" xr:uid="{00000000-0005-0000-0000-000014050000}"/>
    <cellStyle name="Comma 5 2 18 2" xfId="2974" xr:uid="{00000000-0005-0000-0000-000015050000}"/>
    <cellStyle name="Comma 5 2 2" xfId="947" xr:uid="{00000000-0005-0000-0000-000016050000}"/>
    <cellStyle name="Comma 5 2 2 2" xfId="948" xr:uid="{00000000-0005-0000-0000-000017050000}"/>
    <cellStyle name="Comma 5 2 2 2 2" xfId="2976" xr:uid="{00000000-0005-0000-0000-000018050000}"/>
    <cellStyle name="Comma 5 2 2 3" xfId="949" xr:uid="{00000000-0005-0000-0000-000019050000}"/>
    <cellStyle name="Comma 5 2 2 3 2" xfId="2977" xr:uid="{00000000-0005-0000-0000-00001A050000}"/>
    <cellStyle name="Comma 5 2 2 4" xfId="950" xr:uid="{00000000-0005-0000-0000-00001B050000}"/>
    <cellStyle name="Comma 5 2 2 4 2" xfId="2978" xr:uid="{00000000-0005-0000-0000-00001C050000}"/>
    <cellStyle name="Comma 5 2 2 5" xfId="2975" xr:uid="{00000000-0005-0000-0000-00001D050000}"/>
    <cellStyle name="Comma 5 2 3" xfId="951" xr:uid="{00000000-0005-0000-0000-00001E050000}"/>
    <cellStyle name="Comma 5 2 3 2" xfId="952" xr:uid="{00000000-0005-0000-0000-00001F050000}"/>
    <cellStyle name="Comma 5 2 3 2 2" xfId="2980" xr:uid="{00000000-0005-0000-0000-000020050000}"/>
    <cellStyle name="Comma 5 2 3 3" xfId="953" xr:uid="{00000000-0005-0000-0000-000021050000}"/>
    <cellStyle name="Comma 5 2 3 3 2" xfId="2981" xr:uid="{00000000-0005-0000-0000-000022050000}"/>
    <cellStyle name="Comma 5 2 3 4" xfId="954" xr:uid="{00000000-0005-0000-0000-000023050000}"/>
    <cellStyle name="Comma 5 2 3 4 2" xfId="2982" xr:uid="{00000000-0005-0000-0000-000024050000}"/>
    <cellStyle name="Comma 5 2 3 5" xfId="2979" xr:uid="{00000000-0005-0000-0000-000025050000}"/>
    <cellStyle name="Comma 5 2 4" xfId="955" xr:uid="{00000000-0005-0000-0000-000026050000}"/>
    <cellStyle name="Comma 5 2 4 2" xfId="956" xr:uid="{00000000-0005-0000-0000-000027050000}"/>
    <cellStyle name="Comma 5 2 4 2 2" xfId="2984" xr:uid="{00000000-0005-0000-0000-000028050000}"/>
    <cellStyle name="Comma 5 2 4 3" xfId="957" xr:uid="{00000000-0005-0000-0000-000029050000}"/>
    <cellStyle name="Comma 5 2 4 3 2" xfId="2985" xr:uid="{00000000-0005-0000-0000-00002A050000}"/>
    <cellStyle name="Comma 5 2 4 4" xfId="958" xr:uid="{00000000-0005-0000-0000-00002B050000}"/>
    <cellStyle name="Comma 5 2 4 4 2" xfId="2986" xr:uid="{00000000-0005-0000-0000-00002C050000}"/>
    <cellStyle name="Comma 5 2 4 5" xfId="2983" xr:uid="{00000000-0005-0000-0000-00002D050000}"/>
    <cellStyle name="Comma 5 2 5" xfId="959" xr:uid="{00000000-0005-0000-0000-00002E050000}"/>
    <cellStyle name="Comma 5 2 5 2" xfId="960" xr:uid="{00000000-0005-0000-0000-00002F050000}"/>
    <cellStyle name="Comma 5 2 5 2 2" xfId="2988" xr:uid="{00000000-0005-0000-0000-000030050000}"/>
    <cellStyle name="Comma 5 2 5 3" xfId="961" xr:uid="{00000000-0005-0000-0000-000031050000}"/>
    <cellStyle name="Comma 5 2 5 3 2" xfId="2989" xr:uid="{00000000-0005-0000-0000-000032050000}"/>
    <cellStyle name="Comma 5 2 5 4" xfId="962" xr:uid="{00000000-0005-0000-0000-000033050000}"/>
    <cellStyle name="Comma 5 2 5 4 2" xfId="2990" xr:uid="{00000000-0005-0000-0000-000034050000}"/>
    <cellStyle name="Comma 5 2 5 5" xfId="2987" xr:uid="{00000000-0005-0000-0000-000035050000}"/>
    <cellStyle name="Comma 5 2 6" xfId="963" xr:uid="{00000000-0005-0000-0000-000036050000}"/>
    <cellStyle name="Comma 5 2 6 2" xfId="964" xr:uid="{00000000-0005-0000-0000-000037050000}"/>
    <cellStyle name="Comma 5 2 6 2 2" xfId="2992" xr:uid="{00000000-0005-0000-0000-000038050000}"/>
    <cellStyle name="Comma 5 2 6 3" xfId="965" xr:uid="{00000000-0005-0000-0000-000039050000}"/>
    <cellStyle name="Comma 5 2 6 3 2" xfId="2993" xr:uid="{00000000-0005-0000-0000-00003A050000}"/>
    <cellStyle name="Comma 5 2 6 4" xfId="966" xr:uid="{00000000-0005-0000-0000-00003B050000}"/>
    <cellStyle name="Comma 5 2 6 4 2" xfId="2994" xr:uid="{00000000-0005-0000-0000-00003C050000}"/>
    <cellStyle name="Comma 5 2 6 5" xfId="2991" xr:uid="{00000000-0005-0000-0000-00003D050000}"/>
    <cellStyle name="Comma 5 2 7" xfId="967" xr:uid="{00000000-0005-0000-0000-00003E050000}"/>
    <cellStyle name="Comma 5 2 7 2" xfId="968" xr:uid="{00000000-0005-0000-0000-00003F050000}"/>
    <cellStyle name="Comma 5 2 7 2 2" xfId="2996" xr:uid="{00000000-0005-0000-0000-000040050000}"/>
    <cellStyle name="Comma 5 2 7 3" xfId="969" xr:uid="{00000000-0005-0000-0000-000041050000}"/>
    <cellStyle name="Comma 5 2 7 3 2" xfId="2997" xr:uid="{00000000-0005-0000-0000-000042050000}"/>
    <cellStyle name="Comma 5 2 7 4" xfId="970" xr:uid="{00000000-0005-0000-0000-000043050000}"/>
    <cellStyle name="Comma 5 2 7 4 2" xfId="2998" xr:uid="{00000000-0005-0000-0000-000044050000}"/>
    <cellStyle name="Comma 5 2 7 5" xfId="2995" xr:uid="{00000000-0005-0000-0000-000045050000}"/>
    <cellStyle name="Comma 5 2 8" xfId="971" xr:uid="{00000000-0005-0000-0000-000046050000}"/>
    <cellStyle name="Comma 5 2 8 2" xfId="972" xr:uid="{00000000-0005-0000-0000-000047050000}"/>
    <cellStyle name="Comma 5 2 8 2 2" xfId="3000" xr:uid="{00000000-0005-0000-0000-000048050000}"/>
    <cellStyle name="Comma 5 2 8 3" xfId="973" xr:uid="{00000000-0005-0000-0000-000049050000}"/>
    <cellStyle name="Comma 5 2 8 3 2" xfId="3001" xr:uid="{00000000-0005-0000-0000-00004A050000}"/>
    <cellStyle name="Comma 5 2 8 4" xfId="974" xr:uid="{00000000-0005-0000-0000-00004B050000}"/>
    <cellStyle name="Comma 5 2 8 4 2" xfId="3002" xr:uid="{00000000-0005-0000-0000-00004C050000}"/>
    <cellStyle name="Comma 5 2 8 5" xfId="2999" xr:uid="{00000000-0005-0000-0000-00004D050000}"/>
    <cellStyle name="Comma 5 2 9" xfId="975" xr:uid="{00000000-0005-0000-0000-00004E050000}"/>
    <cellStyle name="Comma 5 2 9 2" xfId="976" xr:uid="{00000000-0005-0000-0000-00004F050000}"/>
    <cellStyle name="Comma 5 2 9 2 2" xfId="3004" xr:uid="{00000000-0005-0000-0000-000050050000}"/>
    <cellStyle name="Comma 5 2 9 3" xfId="977" xr:uid="{00000000-0005-0000-0000-000051050000}"/>
    <cellStyle name="Comma 5 2 9 3 2" xfId="3005" xr:uid="{00000000-0005-0000-0000-000052050000}"/>
    <cellStyle name="Comma 5 2 9 4" xfId="978" xr:uid="{00000000-0005-0000-0000-000053050000}"/>
    <cellStyle name="Comma 5 2 9 4 2" xfId="3006" xr:uid="{00000000-0005-0000-0000-000054050000}"/>
    <cellStyle name="Comma 5 2 9 5" xfId="3003" xr:uid="{00000000-0005-0000-0000-000055050000}"/>
    <cellStyle name="Comma 5 20" xfId="979" xr:uid="{00000000-0005-0000-0000-000056050000}"/>
    <cellStyle name="Comma 5 20 2" xfId="980" xr:uid="{00000000-0005-0000-0000-000057050000}"/>
    <cellStyle name="Comma 5 20 2 2" xfId="3008" xr:uid="{00000000-0005-0000-0000-000058050000}"/>
    <cellStyle name="Comma 5 20 3" xfId="981" xr:uid="{00000000-0005-0000-0000-000059050000}"/>
    <cellStyle name="Comma 5 20 3 2" xfId="3009" xr:uid="{00000000-0005-0000-0000-00005A050000}"/>
    <cellStyle name="Comma 5 20 4" xfId="982" xr:uid="{00000000-0005-0000-0000-00005B050000}"/>
    <cellStyle name="Comma 5 20 4 2" xfId="3010" xr:uid="{00000000-0005-0000-0000-00005C050000}"/>
    <cellStyle name="Comma 5 20 5" xfId="3007" xr:uid="{00000000-0005-0000-0000-00005D050000}"/>
    <cellStyle name="Comma 5 21" xfId="983" xr:uid="{00000000-0005-0000-0000-00005E050000}"/>
    <cellStyle name="Comma 5 21 2" xfId="984" xr:uid="{00000000-0005-0000-0000-00005F050000}"/>
    <cellStyle name="Comma 5 21 2 2" xfId="3012" xr:uid="{00000000-0005-0000-0000-000060050000}"/>
    <cellStyle name="Comma 5 21 3" xfId="985" xr:uid="{00000000-0005-0000-0000-000061050000}"/>
    <cellStyle name="Comma 5 21 3 2" xfId="3013" xr:uid="{00000000-0005-0000-0000-000062050000}"/>
    <cellStyle name="Comma 5 21 4" xfId="986" xr:uid="{00000000-0005-0000-0000-000063050000}"/>
    <cellStyle name="Comma 5 21 4 2" xfId="3014" xr:uid="{00000000-0005-0000-0000-000064050000}"/>
    <cellStyle name="Comma 5 21 5" xfId="3011" xr:uid="{00000000-0005-0000-0000-000065050000}"/>
    <cellStyle name="Comma 5 22" xfId="987" xr:uid="{00000000-0005-0000-0000-000066050000}"/>
    <cellStyle name="Comma 5 22 2" xfId="3015" xr:uid="{00000000-0005-0000-0000-000067050000}"/>
    <cellStyle name="Comma 5 23" xfId="988" xr:uid="{00000000-0005-0000-0000-000068050000}"/>
    <cellStyle name="Comma 5 23 2" xfId="3016" xr:uid="{00000000-0005-0000-0000-000069050000}"/>
    <cellStyle name="Comma 5 24" xfId="989" xr:uid="{00000000-0005-0000-0000-00006A050000}"/>
    <cellStyle name="Comma 5 24 2" xfId="3017" xr:uid="{00000000-0005-0000-0000-00006B050000}"/>
    <cellStyle name="Comma 5 3" xfId="990" xr:uid="{00000000-0005-0000-0000-00006C050000}"/>
    <cellStyle name="Comma 5 3 2" xfId="991" xr:uid="{00000000-0005-0000-0000-00006D050000}"/>
    <cellStyle name="Comma 5 3 2 2" xfId="3019" xr:uid="{00000000-0005-0000-0000-00006E050000}"/>
    <cellStyle name="Comma 5 3 3" xfId="992" xr:uid="{00000000-0005-0000-0000-00006F050000}"/>
    <cellStyle name="Comma 5 3 3 2" xfId="3020" xr:uid="{00000000-0005-0000-0000-000070050000}"/>
    <cellStyle name="Comma 5 3 4" xfId="993" xr:uid="{00000000-0005-0000-0000-000071050000}"/>
    <cellStyle name="Comma 5 3 4 2" xfId="3021" xr:uid="{00000000-0005-0000-0000-000072050000}"/>
    <cellStyle name="Comma 5 3 5" xfId="3018" xr:uid="{00000000-0005-0000-0000-000073050000}"/>
    <cellStyle name="Comma 5 4" xfId="994" xr:uid="{00000000-0005-0000-0000-000074050000}"/>
    <cellStyle name="Comma 5 4 2" xfId="995" xr:uid="{00000000-0005-0000-0000-000075050000}"/>
    <cellStyle name="Comma 5 4 2 2" xfId="3023" xr:uid="{00000000-0005-0000-0000-000076050000}"/>
    <cellStyle name="Comma 5 4 3" xfId="996" xr:uid="{00000000-0005-0000-0000-000077050000}"/>
    <cellStyle name="Comma 5 4 3 2" xfId="3024" xr:uid="{00000000-0005-0000-0000-000078050000}"/>
    <cellStyle name="Comma 5 4 4" xfId="997" xr:uid="{00000000-0005-0000-0000-000079050000}"/>
    <cellStyle name="Comma 5 4 4 2" xfId="3025" xr:uid="{00000000-0005-0000-0000-00007A050000}"/>
    <cellStyle name="Comma 5 4 5" xfId="3022" xr:uid="{00000000-0005-0000-0000-00007B050000}"/>
    <cellStyle name="Comma 5 5" xfId="998" xr:uid="{00000000-0005-0000-0000-00007C050000}"/>
    <cellStyle name="Comma 5 5 2" xfId="999" xr:uid="{00000000-0005-0000-0000-00007D050000}"/>
    <cellStyle name="Comma 5 5 2 2" xfId="3027" xr:uid="{00000000-0005-0000-0000-00007E050000}"/>
    <cellStyle name="Comma 5 5 3" xfId="1000" xr:uid="{00000000-0005-0000-0000-00007F050000}"/>
    <cellStyle name="Comma 5 5 3 2" xfId="3028" xr:uid="{00000000-0005-0000-0000-000080050000}"/>
    <cellStyle name="Comma 5 5 4" xfId="1001" xr:uid="{00000000-0005-0000-0000-000081050000}"/>
    <cellStyle name="Comma 5 5 4 2" xfId="3029" xr:uid="{00000000-0005-0000-0000-000082050000}"/>
    <cellStyle name="Comma 5 5 5" xfId="3026" xr:uid="{00000000-0005-0000-0000-000083050000}"/>
    <cellStyle name="Comma 5 6" xfId="1002" xr:uid="{00000000-0005-0000-0000-000084050000}"/>
    <cellStyle name="Comma 5 6 2" xfId="1003" xr:uid="{00000000-0005-0000-0000-000085050000}"/>
    <cellStyle name="Comma 5 6 2 2" xfId="3031" xr:uid="{00000000-0005-0000-0000-000086050000}"/>
    <cellStyle name="Comma 5 6 3" xfId="1004" xr:uid="{00000000-0005-0000-0000-000087050000}"/>
    <cellStyle name="Comma 5 6 3 2" xfId="3032" xr:uid="{00000000-0005-0000-0000-000088050000}"/>
    <cellStyle name="Comma 5 6 4" xfId="1005" xr:uid="{00000000-0005-0000-0000-000089050000}"/>
    <cellStyle name="Comma 5 6 4 2" xfId="3033" xr:uid="{00000000-0005-0000-0000-00008A050000}"/>
    <cellStyle name="Comma 5 6 5" xfId="3030" xr:uid="{00000000-0005-0000-0000-00008B050000}"/>
    <cellStyle name="Comma 5 7" xfId="1006" xr:uid="{00000000-0005-0000-0000-00008C050000}"/>
    <cellStyle name="Comma 5 7 2" xfId="1007" xr:uid="{00000000-0005-0000-0000-00008D050000}"/>
    <cellStyle name="Comma 5 7 2 2" xfId="3035" xr:uid="{00000000-0005-0000-0000-00008E050000}"/>
    <cellStyle name="Comma 5 7 3" xfId="1008" xr:uid="{00000000-0005-0000-0000-00008F050000}"/>
    <cellStyle name="Comma 5 7 3 2" xfId="3036" xr:uid="{00000000-0005-0000-0000-000090050000}"/>
    <cellStyle name="Comma 5 7 4" xfId="1009" xr:uid="{00000000-0005-0000-0000-000091050000}"/>
    <cellStyle name="Comma 5 7 4 2" xfId="3037" xr:uid="{00000000-0005-0000-0000-000092050000}"/>
    <cellStyle name="Comma 5 7 5" xfId="3034" xr:uid="{00000000-0005-0000-0000-000093050000}"/>
    <cellStyle name="Comma 5 8" xfId="1010" xr:uid="{00000000-0005-0000-0000-000094050000}"/>
    <cellStyle name="Comma 5 8 2" xfId="1011" xr:uid="{00000000-0005-0000-0000-000095050000}"/>
    <cellStyle name="Comma 5 8 2 2" xfId="3039" xr:uid="{00000000-0005-0000-0000-000096050000}"/>
    <cellStyle name="Comma 5 8 3" xfId="1012" xr:uid="{00000000-0005-0000-0000-000097050000}"/>
    <cellStyle name="Comma 5 8 3 2" xfId="3040" xr:uid="{00000000-0005-0000-0000-000098050000}"/>
    <cellStyle name="Comma 5 8 4" xfId="1013" xr:uid="{00000000-0005-0000-0000-000099050000}"/>
    <cellStyle name="Comma 5 8 4 2" xfId="3041" xr:uid="{00000000-0005-0000-0000-00009A050000}"/>
    <cellStyle name="Comma 5 8 5" xfId="3038" xr:uid="{00000000-0005-0000-0000-00009B050000}"/>
    <cellStyle name="Comma 5 9" xfId="1014" xr:uid="{00000000-0005-0000-0000-00009C050000}"/>
    <cellStyle name="Comma 5 9 2" xfId="1015" xr:uid="{00000000-0005-0000-0000-00009D050000}"/>
    <cellStyle name="Comma 5 9 2 2" xfId="3043" xr:uid="{00000000-0005-0000-0000-00009E050000}"/>
    <cellStyle name="Comma 5 9 3" xfId="1016" xr:uid="{00000000-0005-0000-0000-00009F050000}"/>
    <cellStyle name="Comma 5 9 3 2" xfId="3044" xr:uid="{00000000-0005-0000-0000-0000A0050000}"/>
    <cellStyle name="Comma 5 9 4" xfId="1017" xr:uid="{00000000-0005-0000-0000-0000A1050000}"/>
    <cellStyle name="Comma 5 9 4 2" xfId="3045" xr:uid="{00000000-0005-0000-0000-0000A2050000}"/>
    <cellStyle name="Comma 5 9 5" xfId="3042" xr:uid="{00000000-0005-0000-0000-0000A3050000}"/>
    <cellStyle name="Comma 6" xfId="1018" xr:uid="{00000000-0005-0000-0000-0000A4050000}"/>
    <cellStyle name="Comma 6 10" xfId="1019" xr:uid="{00000000-0005-0000-0000-0000A5050000}"/>
    <cellStyle name="Comma 6 10 2" xfId="1020" xr:uid="{00000000-0005-0000-0000-0000A6050000}"/>
    <cellStyle name="Comma 6 10 2 2" xfId="3048" xr:uid="{00000000-0005-0000-0000-0000A7050000}"/>
    <cellStyle name="Comma 6 10 3" xfId="1021" xr:uid="{00000000-0005-0000-0000-0000A8050000}"/>
    <cellStyle name="Comma 6 10 3 2" xfId="3049" xr:uid="{00000000-0005-0000-0000-0000A9050000}"/>
    <cellStyle name="Comma 6 10 4" xfId="1022" xr:uid="{00000000-0005-0000-0000-0000AA050000}"/>
    <cellStyle name="Comma 6 10 4 2" xfId="3050" xr:uid="{00000000-0005-0000-0000-0000AB050000}"/>
    <cellStyle name="Comma 6 10 5" xfId="3047" xr:uid="{00000000-0005-0000-0000-0000AC050000}"/>
    <cellStyle name="Comma 6 11" xfId="1023" xr:uid="{00000000-0005-0000-0000-0000AD050000}"/>
    <cellStyle name="Comma 6 11 2" xfId="1024" xr:uid="{00000000-0005-0000-0000-0000AE050000}"/>
    <cellStyle name="Comma 6 11 2 2" xfId="3052" xr:uid="{00000000-0005-0000-0000-0000AF050000}"/>
    <cellStyle name="Comma 6 11 3" xfId="1025" xr:uid="{00000000-0005-0000-0000-0000B0050000}"/>
    <cellStyle name="Comma 6 11 3 2" xfId="3053" xr:uid="{00000000-0005-0000-0000-0000B1050000}"/>
    <cellStyle name="Comma 6 11 4" xfId="1026" xr:uid="{00000000-0005-0000-0000-0000B2050000}"/>
    <cellStyle name="Comma 6 11 4 2" xfId="3054" xr:uid="{00000000-0005-0000-0000-0000B3050000}"/>
    <cellStyle name="Comma 6 11 5" xfId="3051" xr:uid="{00000000-0005-0000-0000-0000B4050000}"/>
    <cellStyle name="Comma 6 12" xfId="1027" xr:uid="{00000000-0005-0000-0000-0000B5050000}"/>
    <cellStyle name="Comma 6 12 2" xfId="1028" xr:uid="{00000000-0005-0000-0000-0000B6050000}"/>
    <cellStyle name="Comma 6 12 2 2" xfId="3056" xr:uid="{00000000-0005-0000-0000-0000B7050000}"/>
    <cellStyle name="Comma 6 12 3" xfId="1029" xr:uid="{00000000-0005-0000-0000-0000B8050000}"/>
    <cellStyle name="Comma 6 12 3 2" xfId="3057" xr:uid="{00000000-0005-0000-0000-0000B9050000}"/>
    <cellStyle name="Comma 6 12 4" xfId="1030" xr:uid="{00000000-0005-0000-0000-0000BA050000}"/>
    <cellStyle name="Comma 6 12 4 2" xfId="3058" xr:uid="{00000000-0005-0000-0000-0000BB050000}"/>
    <cellStyle name="Comma 6 12 5" xfId="3055" xr:uid="{00000000-0005-0000-0000-0000BC050000}"/>
    <cellStyle name="Comma 6 13" xfId="1031" xr:uid="{00000000-0005-0000-0000-0000BD050000}"/>
    <cellStyle name="Comma 6 13 2" xfId="1032" xr:uid="{00000000-0005-0000-0000-0000BE050000}"/>
    <cellStyle name="Comma 6 13 2 2" xfId="3060" xr:uid="{00000000-0005-0000-0000-0000BF050000}"/>
    <cellStyle name="Comma 6 13 3" xfId="1033" xr:uid="{00000000-0005-0000-0000-0000C0050000}"/>
    <cellStyle name="Comma 6 13 3 2" xfId="3061" xr:uid="{00000000-0005-0000-0000-0000C1050000}"/>
    <cellStyle name="Comma 6 13 4" xfId="1034" xr:uid="{00000000-0005-0000-0000-0000C2050000}"/>
    <cellStyle name="Comma 6 13 4 2" xfId="3062" xr:uid="{00000000-0005-0000-0000-0000C3050000}"/>
    <cellStyle name="Comma 6 13 5" xfId="3059" xr:uid="{00000000-0005-0000-0000-0000C4050000}"/>
    <cellStyle name="Comma 6 14" xfId="1035" xr:uid="{00000000-0005-0000-0000-0000C5050000}"/>
    <cellStyle name="Comma 6 14 2" xfId="1036" xr:uid="{00000000-0005-0000-0000-0000C6050000}"/>
    <cellStyle name="Comma 6 14 2 2" xfId="3064" xr:uid="{00000000-0005-0000-0000-0000C7050000}"/>
    <cellStyle name="Comma 6 14 3" xfId="1037" xr:uid="{00000000-0005-0000-0000-0000C8050000}"/>
    <cellStyle name="Comma 6 14 3 2" xfId="3065" xr:uid="{00000000-0005-0000-0000-0000C9050000}"/>
    <cellStyle name="Comma 6 14 4" xfId="1038" xr:uid="{00000000-0005-0000-0000-0000CA050000}"/>
    <cellStyle name="Comma 6 14 4 2" xfId="3066" xr:uid="{00000000-0005-0000-0000-0000CB050000}"/>
    <cellStyle name="Comma 6 14 5" xfId="3063" xr:uid="{00000000-0005-0000-0000-0000CC050000}"/>
    <cellStyle name="Comma 6 15" xfId="1039" xr:uid="{00000000-0005-0000-0000-0000CD050000}"/>
    <cellStyle name="Comma 6 15 2" xfId="1040" xr:uid="{00000000-0005-0000-0000-0000CE050000}"/>
    <cellStyle name="Comma 6 15 2 2" xfId="3068" xr:uid="{00000000-0005-0000-0000-0000CF050000}"/>
    <cellStyle name="Comma 6 15 3" xfId="1041" xr:uid="{00000000-0005-0000-0000-0000D0050000}"/>
    <cellStyle name="Comma 6 15 3 2" xfId="3069" xr:uid="{00000000-0005-0000-0000-0000D1050000}"/>
    <cellStyle name="Comma 6 15 4" xfId="1042" xr:uid="{00000000-0005-0000-0000-0000D2050000}"/>
    <cellStyle name="Comma 6 15 4 2" xfId="3070" xr:uid="{00000000-0005-0000-0000-0000D3050000}"/>
    <cellStyle name="Comma 6 15 5" xfId="3067" xr:uid="{00000000-0005-0000-0000-0000D4050000}"/>
    <cellStyle name="Comma 6 16" xfId="1043" xr:uid="{00000000-0005-0000-0000-0000D5050000}"/>
    <cellStyle name="Comma 6 16 2" xfId="1044" xr:uid="{00000000-0005-0000-0000-0000D6050000}"/>
    <cellStyle name="Comma 6 16 2 2" xfId="3072" xr:uid="{00000000-0005-0000-0000-0000D7050000}"/>
    <cellStyle name="Comma 6 16 3" xfId="1045" xr:uid="{00000000-0005-0000-0000-0000D8050000}"/>
    <cellStyle name="Comma 6 16 3 2" xfId="3073" xr:uid="{00000000-0005-0000-0000-0000D9050000}"/>
    <cellStyle name="Comma 6 16 4" xfId="1046" xr:uid="{00000000-0005-0000-0000-0000DA050000}"/>
    <cellStyle name="Comma 6 16 4 2" xfId="3074" xr:uid="{00000000-0005-0000-0000-0000DB050000}"/>
    <cellStyle name="Comma 6 16 5" xfId="3071" xr:uid="{00000000-0005-0000-0000-0000DC050000}"/>
    <cellStyle name="Comma 6 17" xfId="1047" xr:uid="{00000000-0005-0000-0000-0000DD050000}"/>
    <cellStyle name="Comma 6 17 2" xfId="1048" xr:uid="{00000000-0005-0000-0000-0000DE050000}"/>
    <cellStyle name="Comma 6 17 2 2" xfId="3076" xr:uid="{00000000-0005-0000-0000-0000DF050000}"/>
    <cellStyle name="Comma 6 17 3" xfId="1049" xr:uid="{00000000-0005-0000-0000-0000E0050000}"/>
    <cellStyle name="Comma 6 17 3 2" xfId="3077" xr:uid="{00000000-0005-0000-0000-0000E1050000}"/>
    <cellStyle name="Comma 6 17 4" xfId="1050" xr:uid="{00000000-0005-0000-0000-0000E2050000}"/>
    <cellStyle name="Comma 6 17 4 2" xfId="3078" xr:uid="{00000000-0005-0000-0000-0000E3050000}"/>
    <cellStyle name="Comma 6 17 5" xfId="3075" xr:uid="{00000000-0005-0000-0000-0000E4050000}"/>
    <cellStyle name="Comma 6 18" xfId="1051" xr:uid="{00000000-0005-0000-0000-0000E5050000}"/>
    <cellStyle name="Comma 6 18 2" xfId="1052" xr:uid="{00000000-0005-0000-0000-0000E6050000}"/>
    <cellStyle name="Comma 6 18 2 2" xfId="3080" xr:uid="{00000000-0005-0000-0000-0000E7050000}"/>
    <cellStyle name="Comma 6 18 3" xfId="1053" xr:uid="{00000000-0005-0000-0000-0000E8050000}"/>
    <cellStyle name="Comma 6 18 3 2" xfId="3081" xr:uid="{00000000-0005-0000-0000-0000E9050000}"/>
    <cellStyle name="Comma 6 18 4" xfId="1054" xr:uid="{00000000-0005-0000-0000-0000EA050000}"/>
    <cellStyle name="Comma 6 18 4 2" xfId="3082" xr:uid="{00000000-0005-0000-0000-0000EB050000}"/>
    <cellStyle name="Comma 6 18 5" xfId="3079" xr:uid="{00000000-0005-0000-0000-0000EC050000}"/>
    <cellStyle name="Comma 6 19" xfId="1055" xr:uid="{00000000-0005-0000-0000-0000ED050000}"/>
    <cellStyle name="Comma 6 19 2" xfId="1056" xr:uid="{00000000-0005-0000-0000-0000EE050000}"/>
    <cellStyle name="Comma 6 19 2 2" xfId="3084" xr:uid="{00000000-0005-0000-0000-0000EF050000}"/>
    <cellStyle name="Comma 6 19 3" xfId="1057" xr:uid="{00000000-0005-0000-0000-0000F0050000}"/>
    <cellStyle name="Comma 6 19 3 2" xfId="3085" xr:uid="{00000000-0005-0000-0000-0000F1050000}"/>
    <cellStyle name="Comma 6 19 4" xfId="1058" xr:uid="{00000000-0005-0000-0000-0000F2050000}"/>
    <cellStyle name="Comma 6 19 4 2" xfId="3086" xr:uid="{00000000-0005-0000-0000-0000F3050000}"/>
    <cellStyle name="Comma 6 19 5" xfId="3083" xr:uid="{00000000-0005-0000-0000-0000F4050000}"/>
    <cellStyle name="Comma 6 2" xfId="1059" xr:uid="{00000000-0005-0000-0000-0000F5050000}"/>
    <cellStyle name="Comma 6 2 2" xfId="1060" xr:uid="{00000000-0005-0000-0000-0000F6050000}"/>
    <cellStyle name="Comma 6 2 2 2" xfId="3088" xr:uid="{00000000-0005-0000-0000-0000F7050000}"/>
    <cellStyle name="Comma 6 2 3" xfId="1061" xr:uid="{00000000-0005-0000-0000-0000F8050000}"/>
    <cellStyle name="Comma 6 2 3 2" xfId="3089" xr:uid="{00000000-0005-0000-0000-0000F9050000}"/>
    <cellStyle name="Comma 6 2 4" xfId="1062" xr:uid="{00000000-0005-0000-0000-0000FA050000}"/>
    <cellStyle name="Comma 6 2 4 2" xfId="3090" xr:uid="{00000000-0005-0000-0000-0000FB050000}"/>
    <cellStyle name="Comma 6 2 5" xfId="3087" xr:uid="{00000000-0005-0000-0000-0000FC050000}"/>
    <cellStyle name="Comma 6 20" xfId="1063" xr:uid="{00000000-0005-0000-0000-0000FD050000}"/>
    <cellStyle name="Comma 6 20 2" xfId="1064" xr:uid="{00000000-0005-0000-0000-0000FE050000}"/>
    <cellStyle name="Comma 6 20 2 2" xfId="3092" xr:uid="{00000000-0005-0000-0000-0000FF050000}"/>
    <cellStyle name="Comma 6 20 3" xfId="1065" xr:uid="{00000000-0005-0000-0000-000000060000}"/>
    <cellStyle name="Comma 6 20 3 2" xfId="3093" xr:uid="{00000000-0005-0000-0000-000001060000}"/>
    <cellStyle name="Comma 6 20 4" xfId="1066" xr:uid="{00000000-0005-0000-0000-000002060000}"/>
    <cellStyle name="Comma 6 20 4 2" xfId="3094" xr:uid="{00000000-0005-0000-0000-000003060000}"/>
    <cellStyle name="Comma 6 20 5" xfId="3091" xr:uid="{00000000-0005-0000-0000-000004060000}"/>
    <cellStyle name="Comma 6 21" xfId="1067" xr:uid="{00000000-0005-0000-0000-000005060000}"/>
    <cellStyle name="Comma 6 21 2" xfId="1068" xr:uid="{00000000-0005-0000-0000-000006060000}"/>
    <cellStyle name="Comma 6 21 2 2" xfId="3096" xr:uid="{00000000-0005-0000-0000-000007060000}"/>
    <cellStyle name="Comma 6 21 3" xfId="1069" xr:uid="{00000000-0005-0000-0000-000008060000}"/>
    <cellStyle name="Comma 6 21 3 2" xfId="3097" xr:uid="{00000000-0005-0000-0000-000009060000}"/>
    <cellStyle name="Comma 6 21 4" xfId="1070" xr:uid="{00000000-0005-0000-0000-00000A060000}"/>
    <cellStyle name="Comma 6 21 4 2" xfId="3098" xr:uid="{00000000-0005-0000-0000-00000B060000}"/>
    <cellStyle name="Comma 6 21 5" xfId="3095" xr:uid="{00000000-0005-0000-0000-00000C060000}"/>
    <cellStyle name="Comma 6 22" xfId="1071" xr:uid="{00000000-0005-0000-0000-00000D060000}"/>
    <cellStyle name="Comma 6 22 2" xfId="3099" xr:uid="{00000000-0005-0000-0000-00000E060000}"/>
    <cellStyle name="Comma 6 23" xfId="1072" xr:uid="{00000000-0005-0000-0000-00000F060000}"/>
    <cellStyle name="Comma 6 23 2" xfId="3100" xr:uid="{00000000-0005-0000-0000-000010060000}"/>
    <cellStyle name="Comma 6 24" xfId="1073" xr:uid="{00000000-0005-0000-0000-000011060000}"/>
    <cellStyle name="Comma 6 24 2" xfId="3101" xr:uid="{00000000-0005-0000-0000-000012060000}"/>
    <cellStyle name="Comma 6 25" xfId="3046" xr:uid="{00000000-0005-0000-0000-000013060000}"/>
    <cellStyle name="Comma 6 3" xfId="1074" xr:uid="{00000000-0005-0000-0000-000014060000}"/>
    <cellStyle name="Comma 6 3 2" xfId="1075" xr:uid="{00000000-0005-0000-0000-000015060000}"/>
    <cellStyle name="Comma 6 3 2 2" xfId="3103" xr:uid="{00000000-0005-0000-0000-000016060000}"/>
    <cellStyle name="Comma 6 3 3" xfId="1076" xr:uid="{00000000-0005-0000-0000-000017060000}"/>
    <cellStyle name="Comma 6 3 3 2" xfId="3104" xr:uid="{00000000-0005-0000-0000-000018060000}"/>
    <cellStyle name="Comma 6 3 4" xfId="1077" xr:uid="{00000000-0005-0000-0000-000019060000}"/>
    <cellStyle name="Comma 6 3 4 2" xfId="3105" xr:uid="{00000000-0005-0000-0000-00001A060000}"/>
    <cellStyle name="Comma 6 3 5" xfId="3102" xr:uid="{00000000-0005-0000-0000-00001B060000}"/>
    <cellStyle name="Comma 6 4" xfId="1078" xr:uid="{00000000-0005-0000-0000-00001C060000}"/>
    <cellStyle name="Comma 6 4 2" xfId="1079" xr:uid="{00000000-0005-0000-0000-00001D060000}"/>
    <cellStyle name="Comma 6 4 2 2" xfId="3107" xr:uid="{00000000-0005-0000-0000-00001E060000}"/>
    <cellStyle name="Comma 6 4 3" xfId="1080" xr:uid="{00000000-0005-0000-0000-00001F060000}"/>
    <cellStyle name="Comma 6 4 3 2" xfId="3108" xr:uid="{00000000-0005-0000-0000-000020060000}"/>
    <cellStyle name="Comma 6 4 4" xfId="1081" xr:uid="{00000000-0005-0000-0000-000021060000}"/>
    <cellStyle name="Comma 6 4 4 2" xfId="3109" xr:uid="{00000000-0005-0000-0000-000022060000}"/>
    <cellStyle name="Comma 6 4 5" xfId="3106" xr:uid="{00000000-0005-0000-0000-000023060000}"/>
    <cellStyle name="Comma 6 5" xfId="1082" xr:uid="{00000000-0005-0000-0000-000024060000}"/>
    <cellStyle name="Comma 6 5 2" xfId="1083" xr:uid="{00000000-0005-0000-0000-000025060000}"/>
    <cellStyle name="Comma 6 5 2 2" xfId="3111" xr:uid="{00000000-0005-0000-0000-000026060000}"/>
    <cellStyle name="Comma 6 5 3" xfId="1084" xr:uid="{00000000-0005-0000-0000-000027060000}"/>
    <cellStyle name="Comma 6 5 3 2" xfId="3112" xr:uid="{00000000-0005-0000-0000-000028060000}"/>
    <cellStyle name="Comma 6 5 4" xfId="1085" xr:uid="{00000000-0005-0000-0000-000029060000}"/>
    <cellStyle name="Comma 6 5 4 2" xfId="3113" xr:uid="{00000000-0005-0000-0000-00002A060000}"/>
    <cellStyle name="Comma 6 5 5" xfId="3110" xr:uid="{00000000-0005-0000-0000-00002B060000}"/>
    <cellStyle name="Comma 6 6" xfId="1086" xr:uid="{00000000-0005-0000-0000-00002C060000}"/>
    <cellStyle name="Comma 6 6 2" xfId="1087" xr:uid="{00000000-0005-0000-0000-00002D060000}"/>
    <cellStyle name="Comma 6 6 2 2" xfId="3115" xr:uid="{00000000-0005-0000-0000-00002E060000}"/>
    <cellStyle name="Comma 6 6 3" xfId="1088" xr:uid="{00000000-0005-0000-0000-00002F060000}"/>
    <cellStyle name="Comma 6 6 3 2" xfId="3116" xr:uid="{00000000-0005-0000-0000-000030060000}"/>
    <cellStyle name="Comma 6 6 4" xfId="1089" xr:uid="{00000000-0005-0000-0000-000031060000}"/>
    <cellStyle name="Comma 6 6 4 2" xfId="3117" xr:uid="{00000000-0005-0000-0000-000032060000}"/>
    <cellStyle name="Comma 6 6 5" xfId="3114" xr:uid="{00000000-0005-0000-0000-000033060000}"/>
    <cellStyle name="Comma 6 7" xfId="1090" xr:uid="{00000000-0005-0000-0000-000034060000}"/>
    <cellStyle name="Comma 6 7 2" xfId="1091" xr:uid="{00000000-0005-0000-0000-000035060000}"/>
    <cellStyle name="Comma 6 7 2 2" xfId="3119" xr:uid="{00000000-0005-0000-0000-000036060000}"/>
    <cellStyle name="Comma 6 7 3" xfId="1092" xr:uid="{00000000-0005-0000-0000-000037060000}"/>
    <cellStyle name="Comma 6 7 3 2" xfId="3120" xr:uid="{00000000-0005-0000-0000-000038060000}"/>
    <cellStyle name="Comma 6 7 4" xfId="1093" xr:uid="{00000000-0005-0000-0000-000039060000}"/>
    <cellStyle name="Comma 6 7 4 2" xfId="3121" xr:uid="{00000000-0005-0000-0000-00003A060000}"/>
    <cellStyle name="Comma 6 7 5" xfId="3118" xr:uid="{00000000-0005-0000-0000-00003B060000}"/>
    <cellStyle name="Comma 6 8" xfId="1094" xr:uid="{00000000-0005-0000-0000-00003C060000}"/>
    <cellStyle name="Comma 6 8 2" xfId="1095" xr:uid="{00000000-0005-0000-0000-00003D060000}"/>
    <cellStyle name="Comma 6 8 2 2" xfId="3123" xr:uid="{00000000-0005-0000-0000-00003E060000}"/>
    <cellStyle name="Comma 6 8 3" xfId="1096" xr:uid="{00000000-0005-0000-0000-00003F060000}"/>
    <cellStyle name="Comma 6 8 3 2" xfId="3124" xr:uid="{00000000-0005-0000-0000-000040060000}"/>
    <cellStyle name="Comma 6 8 4" xfId="1097" xr:uid="{00000000-0005-0000-0000-000041060000}"/>
    <cellStyle name="Comma 6 8 4 2" xfId="3125" xr:uid="{00000000-0005-0000-0000-000042060000}"/>
    <cellStyle name="Comma 6 8 5" xfId="3122" xr:uid="{00000000-0005-0000-0000-000043060000}"/>
    <cellStyle name="Comma 6 9" xfId="1098" xr:uid="{00000000-0005-0000-0000-000044060000}"/>
    <cellStyle name="Comma 6 9 2" xfId="1099" xr:uid="{00000000-0005-0000-0000-000045060000}"/>
    <cellStyle name="Comma 6 9 2 2" xfId="3127" xr:uid="{00000000-0005-0000-0000-000046060000}"/>
    <cellStyle name="Comma 6 9 3" xfId="1100" xr:uid="{00000000-0005-0000-0000-000047060000}"/>
    <cellStyle name="Comma 6 9 3 2" xfId="3128" xr:uid="{00000000-0005-0000-0000-000048060000}"/>
    <cellStyle name="Comma 6 9 4" xfId="1101" xr:uid="{00000000-0005-0000-0000-000049060000}"/>
    <cellStyle name="Comma 6 9 4 2" xfId="3129" xr:uid="{00000000-0005-0000-0000-00004A060000}"/>
    <cellStyle name="Comma 6 9 5" xfId="3126" xr:uid="{00000000-0005-0000-0000-00004B060000}"/>
    <cellStyle name="Comma 7" xfId="1102" xr:uid="{00000000-0005-0000-0000-00004C060000}"/>
    <cellStyle name="Comma 7 10" xfId="1103" xr:uid="{00000000-0005-0000-0000-00004D060000}"/>
    <cellStyle name="Comma 7 10 2" xfId="1104" xr:uid="{00000000-0005-0000-0000-00004E060000}"/>
    <cellStyle name="Comma 7 10 2 2" xfId="3132" xr:uid="{00000000-0005-0000-0000-00004F060000}"/>
    <cellStyle name="Comma 7 10 3" xfId="1105" xr:uid="{00000000-0005-0000-0000-000050060000}"/>
    <cellStyle name="Comma 7 10 3 2" xfId="3133" xr:uid="{00000000-0005-0000-0000-000051060000}"/>
    <cellStyle name="Comma 7 10 4" xfId="1106" xr:uid="{00000000-0005-0000-0000-000052060000}"/>
    <cellStyle name="Comma 7 10 4 2" xfId="3134" xr:uid="{00000000-0005-0000-0000-000053060000}"/>
    <cellStyle name="Comma 7 10 5" xfId="3131" xr:uid="{00000000-0005-0000-0000-000054060000}"/>
    <cellStyle name="Comma 7 11" xfId="1107" xr:uid="{00000000-0005-0000-0000-000055060000}"/>
    <cellStyle name="Comma 7 11 2" xfId="1108" xr:uid="{00000000-0005-0000-0000-000056060000}"/>
    <cellStyle name="Comma 7 11 2 2" xfId="3136" xr:uid="{00000000-0005-0000-0000-000057060000}"/>
    <cellStyle name="Comma 7 11 3" xfId="1109" xr:uid="{00000000-0005-0000-0000-000058060000}"/>
    <cellStyle name="Comma 7 11 3 2" xfId="3137" xr:uid="{00000000-0005-0000-0000-000059060000}"/>
    <cellStyle name="Comma 7 11 4" xfId="1110" xr:uid="{00000000-0005-0000-0000-00005A060000}"/>
    <cellStyle name="Comma 7 11 4 2" xfId="3138" xr:uid="{00000000-0005-0000-0000-00005B060000}"/>
    <cellStyle name="Comma 7 11 5" xfId="3135" xr:uid="{00000000-0005-0000-0000-00005C060000}"/>
    <cellStyle name="Comma 7 12" xfId="1111" xr:uid="{00000000-0005-0000-0000-00005D060000}"/>
    <cellStyle name="Comma 7 12 2" xfId="1112" xr:uid="{00000000-0005-0000-0000-00005E060000}"/>
    <cellStyle name="Comma 7 12 2 2" xfId="3140" xr:uid="{00000000-0005-0000-0000-00005F060000}"/>
    <cellStyle name="Comma 7 12 3" xfId="1113" xr:uid="{00000000-0005-0000-0000-000060060000}"/>
    <cellStyle name="Comma 7 12 3 2" xfId="3141" xr:uid="{00000000-0005-0000-0000-000061060000}"/>
    <cellStyle name="Comma 7 12 4" xfId="1114" xr:uid="{00000000-0005-0000-0000-000062060000}"/>
    <cellStyle name="Comma 7 12 4 2" xfId="3142" xr:uid="{00000000-0005-0000-0000-000063060000}"/>
    <cellStyle name="Comma 7 12 5" xfId="3139" xr:uid="{00000000-0005-0000-0000-000064060000}"/>
    <cellStyle name="Comma 7 13" xfId="1115" xr:uid="{00000000-0005-0000-0000-000065060000}"/>
    <cellStyle name="Comma 7 13 2" xfId="1116" xr:uid="{00000000-0005-0000-0000-000066060000}"/>
    <cellStyle name="Comma 7 13 2 2" xfId="3144" xr:uid="{00000000-0005-0000-0000-000067060000}"/>
    <cellStyle name="Comma 7 13 3" xfId="1117" xr:uid="{00000000-0005-0000-0000-000068060000}"/>
    <cellStyle name="Comma 7 13 3 2" xfId="3145" xr:uid="{00000000-0005-0000-0000-000069060000}"/>
    <cellStyle name="Comma 7 13 4" xfId="1118" xr:uid="{00000000-0005-0000-0000-00006A060000}"/>
    <cellStyle name="Comma 7 13 4 2" xfId="3146" xr:uid="{00000000-0005-0000-0000-00006B060000}"/>
    <cellStyle name="Comma 7 13 5" xfId="3143" xr:uid="{00000000-0005-0000-0000-00006C060000}"/>
    <cellStyle name="Comma 7 14" xfId="1119" xr:uid="{00000000-0005-0000-0000-00006D060000}"/>
    <cellStyle name="Comma 7 14 2" xfId="1120" xr:uid="{00000000-0005-0000-0000-00006E060000}"/>
    <cellStyle name="Comma 7 14 2 2" xfId="3148" xr:uid="{00000000-0005-0000-0000-00006F060000}"/>
    <cellStyle name="Comma 7 14 3" xfId="1121" xr:uid="{00000000-0005-0000-0000-000070060000}"/>
    <cellStyle name="Comma 7 14 3 2" xfId="3149" xr:uid="{00000000-0005-0000-0000-000071060000}"/>
    <cellStyle name="Comma 7 14 4" xfId="1122" xr:uid="{00000000-0005-0000-0000-000072060000}"/>
    <cellStyle name="Comma 7 14 4 2" xfId="3150" xr:uid="{00000000-0005-0000-0000-000073060000}"/>
    <cellStyle name="Comma 7 14 5" xfId="3147" xr:uid="{00000000-0005-0000-0000-000074060000}"/>
    <cellStyle name="Comma 7 15" xfId="1123" xr:uid="{00000000-0005-0000-0000-000075060000}"/>
    <cellStyle name="Comma 7 15 2" xfId="1124" xr:uid="{00000000-0005-0000-0000-000076060000}"/>
    <cellStyle name="Comma 7 15 2 2" xfId="3152" xr:uid="{00000000-0005-0000-0000-000077060000}"/>
    <cellStyle name="Comma 7 15 3" xfId="1125" xr:uid="{00000000-0005-0000-0000-000078060000}"/>
    <cellStyle name="Comma 7 15 3 2" xfId="3153" xr:uid="{00000000-0005-0000-0000-000079060000}"/>
    <cellStyle name="Comma 7 15 4" xfId="1126" xr:uid="{00000000-0005-0000-0000-00007A060000}"/>
    <cellStyle name="Comma 7 15 4 2" xfId="3154" xr:uid="{00000000-0005-0000-0000-00007B060000}"/>
    <cellStyle name="Comma 7 15 5" xfId="3151" xr:uid="{00000000-0005-0000-0000-00007C060000}"/>
    <cellStyle name="Comma 7 16" xfId="1127" xr:uid="{00000000-0005-0000-0000-00007D060000}"/>
    <cellStyle name="Comma 7 16 2" xfId="1128" xr:uid="{00000000-0005-0000-0000-00007E060000}"/>
    <cellStyle name="Comma 7 16 2 2" xfId="3156" xr:uid="{00000000-0005-0000-0000-00007F060000}"/>
    <cellStyle name="Comma 7 16 3" xfId="1129" xr:uid="{00000000-0005-0000-0000-000080060000}"/>
    <cellStyle name="Comma 7 16 3 2" xfId="3157" xr:uid="{00000000-0005-0000-0000-000081060000}"/>
    <cellStyle name="Comma 7 16 4" xfId="1130" xr:uid="{00000000-0005-0000-0000-000082060000}"/>
    <cellStyle name="Comma 7 16 4 2" xfId="3158" xr:uid="{00000000-0005-0000-0000-000083060000}"/>
    <cellStyle name="Comma 7 16 5" xfId="3155" xr:uid="{00000000-0005-0000-0000-000084060000}"/>
    <cellStyle name="Comma 7 17" xfId="1131" xr:uid="{00000000-0005-0000-0000-000085060000}"/>
    <cellStyle name="Comma 7 17 2" xfId="1132" xr:uid="{00000000-0005-0000-0000-000086060000}"/>
    <cellStyle name="Comma 7 17 2 2" xfId="3160" xr:uid="{00000000-0005-0000-0000-000087060000}"/>
    <cellStyle name="Comma 7 17 3" xfId="1133" xr:uid="{00000000-0005-0000-0000-000088060000}"/>
    <cellStyle name="Comma 7 17 3 2" xfId="3161" xr:uid="{00000000-0005-0000-0000-000089060000}"/>
    <cellStyle name="Comma 7 17 4" xfId="1134" xr:uid="{00000000-0005-0000-0000-00008A060000}"/>
    <cellStyle name="Comma 7 17 4 2" xfId="3162" xr:uid="{00000000-0005-0000-0000-00008B060000}"/>
    <cellStyle name="Comma 7 17 5" xfId="3159" xr:uid="{00000000-0005-0000-0000-00008C060000}"/>
    <cellStyle name="Comma 7 18" xfId="1135" xr:uid="{00000000-0005-0000-0000-00008D060000}"/>
    <cellStyle name="Comma 7 18 2" xfId="1136" xr:uid="{00000000-0005-0000-0000-00008E060000}"/>
    <cellStyle name="Comma 7 18 2 2" xfId="3164" xr:uid="{00000000-0005-0000-0000-00008F060000}"/>
    <cellStyle name="Comma 7 18 3" xfId="1137" xr:uid="{00000000-0005-0000-0000-000090060000}"/>
    <cellStyle name="Comma 7 18 3 2" xfId="3165" xr:uid="{00000000-0005-0000-0000-000091060000}"/>
    <cellStyle name="Comma 7 18 4" xfId="1138" xr:uid="{00000000-0005-0000-0000-000092060000}"/>
    <cellStyle name="Comma 7 18 4 2" xfId="3166" xr:uid="{00000000-0005-0000-0000-000093060000}"/>
    <cellStyle name="Comma 7 18 5" xfId="3163" xr:uid="{00000000-0005-0000-0000-000094060000}"/>
    <cellStyle name="Comma 7 19" xfId="1139" xr:uid="{00000000-0005-0000-0000-000095060000}"/>
    <cellStyle name="Comma 7 19 2" xfId="1140" xr:uid="{00000000-0005-0000-0000-000096060000}"/>
    <cellStyle name="Comma 7 19 2 2" xfId="3168" xr:uid="{00000000-0005-0000-0000-000097060000}"/>
    <cellStyle name="Comma 7 19 3" xfId="1141" xr:uid="{00000000-0005-0000-0000-000098060000}"/>
    <cellStyle name="Comma 7 19 3 2" xfId="3169" xr:uid="{00000000-0005-0000-0000-000099060000}"/>
    <cellStyle name="Comma 7 19 4" xfId="1142" xr:uid="{00000000-0005-0000-0000-00009A060000}"/>
    <cellStyle name="Comma 7 19 4 2" xfId="3170" xr:uid="{00000000-0005-0000-0000-00009B060000}"/>
    <cellStyle name="Comma 7 19 5" xfId="3167" xr:uid="{00000000-0005-0000-0000-00009C060000}"/>
    <cellStyle name="Comma 7 2" xfId="1143" xr:uid="{00000000-0005-0000-0000-00009D060000}"/>
    <cellStyle name="Comma 7 2 2" xfId="1144" xr:uid="{00000000-0005-0000-0000-00009E060000}"/>
    <cellStyle name="Comma 7 2 2 2" xfId="3172" xr:uid="{00000000-0005-0000-0000-00009F060000}"/>
    <cellStyle name="Comma 7 2 3" xfId="1145" xr:uid="{00000000-0005-0000-0000-0000A0060000}"/>
    <cellStyle name="Comma 7 2 3 2" xfId="3173" xr:uid="{00000000-0005-0000-0000-0000A1060000}"/>
    <cellStyle name="Comma 7 2 4" xfId="1146" xr:uid="{00000000-0005-0000-0000-0000A2060000}"/>
    <cellStyle name="Comma 7 2 4 2" xfId="3174" xr:uid="{00000000-0005-0000-0000-0000A3060000}"/>
    <cellStyle name="Comma 7 2 5" xfId="3171" xr:uid="{00000000-0005-0000-0000-0000A4060000}"/>
    <cellStyle name="Comma 7 20" xfId="1147" xr:uid="{00000000-0005-0000-0000-0000A5060000}"/>
    <cellStyle name="Comma 7 20 2" xfId="1148" xr:uid="{00000000-0005-0000-0000-0000A6060000}"/>
    <cellStyle name="Comma 7 20 2 2" xfId="3176" xr:uid="{00000000-0005-0000-0000-0000A7060000}"/>
    <cellStyle name="Comma 7 20 3" xfId="1149" xr:uid="{00000000-0005-0000-0000-0000A8060000}"/>
    <cellStyle name="Comma 7 20 3 2" xfId="3177" xr:uid="{00000000-0005-0000-0000-0000A9060000}"/>
    <cellStyle name="Comma 7 20 4" xfId="1150" xr:uid="{00000000-0005-0000-0000-0000AA060000}"/>
    <cellStyle name="Comma 7 20 4 2" xfId="3178" xr:uid="{00000000-0005-0000-0000-0000AB060000}"/>
    <cellStyle name="Comma 7 20 5" xfId="3175" xr:uid="{00000000-0005-0000-0000-0000AC060000}"/>
    <cellStyle name="Comma 7 21" xfId="1151" xr:uid="{00000000-0005-0000-0000-0000AD060000}"/>
    <cellStyle name="Comma 7 21 2" xfId="1152" xr:uid="{00000000-0005-0000-0000-0000AE060000}"/>
    <cellStyle name="Comma 7 21 2 2" xfId="3180" xr:uid="{00000000-0005-0000-0000-0000AF060000}"/>
    <cellStyle name="Comma 7 21 3" xfId="1153" xr:uid="{00000000-0005-0000-0000-0000B0060000}"/>
    <cellStyle name="Comma 7 21 3 2" xfId="3181" xr:uid="{00000000-0005-0000-0000-0000B1060000}"/>
    <cellStyle name="Comma 7 21 4" xfId="1154" xr:uid="{00000000-0005-0000-0000-0000B2060000}"/>
    <cellStyle name="Comma 7 21 4 2" xfId="3182" xr:uid="{00000000-0005-0000-0000-0000B3060000}"/>
    <cellStyle name="Comma 7 21 5" xfId="3179" xr:uid="{00000000-0005-0000-0000-0000B4060000}"/>
    <cellStyle name="Comma 7 22" xfId="1155" xr:uid="{00000000-0005-0000-0000-0000B5060000}"/>
    <cellStyle name="Comma 7 22 2" xfId="3183" xr:uid="{00000000-0005-0000-0000-0000B6060000}"/>
    <cellStyle name="Comma 7 23" xfId="1156" xr:uid="{00000000-0005-0000-0000-0000B7060000}"/>
    <cellStyle name="Comma 7 23 2" xfId="3184" xr:uid="{00000000-0005-0000-0000-0000B8060000}"/>
    <cellStyle name="Comma 7 24" xfId="1157" xr:uid="{00000000-0005-0000-0000-0000B9060000}"/>
    <cellStyle name="Comma 7 24 2" xfId="3185" xr:uid="{00000000-0005-0000-0000-0000BA060000}"/>
    <cellStyle name="Comma 7 25" xfId="3130" xr:uid="{00000000-0005-0000-0000-0000BB060000}"/>
    <cellStyle name="Comma 7 3" xfId="1158" xr:uid="{00000000-0005-0000-0000-0000BC060000}"/>
    <cellStyle name="Comma 7 3 2" xfId="1159" xr:uid="{00000000-0005-0000-0000-0000BD060000}"/>
    <cellStyle name="Comma 7 3 2 2" xfId="3187" xr:uid="{00000000-0005-0000-0000-0000BE060000}"/>
    <cellStyle name="Comma 7 3 3" xfId="1160" xr:uid="{00000000-0005-0000-0000-0000BF060000}"/>
    <cellStyle name="Comma 7 3 3 2" xfId="3188" xr:uid="{00000000-0005-0000-0000-0000C0060000}"/>
    <cellStyle name="Comma 7 3 4" xfId="1161" xr:uid="{00000000-0005-0000-0000-0000C1060000}"/>
    <cellStyle name="Comma 7 3 4 2" xfId="3189" xr:uid="{00000000-0005-0000-0000-0000C2060000}"/>
    <cellStyle name="Comma 7 3 5" xfId="3186" xr:uid="{00000000-0005-0000-0000-0000C3060000}"/>
    <cellStyle name="Comma 7 4" xfId="1162" xr:uid="{00000000-0005-0000-0000-0000C4060000}"/>
    <cellStyle name="Comma 7 4 2" xfId="1163" xr:uid="{00000000-0005-0000-0000-0000C5060000}"/>
    <cellStyle name="Comma 7 4 2 2" xfId="3191" xr:uid="{00000000-0005-0000-0000-0000C6060000}"/>
    <cellStyle name="Comma 7 4 3" xfId="1164" xr:uid="{00000000-0005-0000-0000-0000C7060000}"/>
    <cellStyle name="Comma 7 4 3 2" xfId="3192" xr:uid="{00000000-0005-0000-0000-0000C8060000}"/>
    <cellStyle name="Comma 7 4 4" xfId="1165" xr:uid="{00000000-0005-0000-0000-0000C9060000}"/>
    <cellStyle name="Comma 7 4 4 2" xfId="3193" xr:uid="{00000000-0005-0000-0000-0000CA060000}"/>
    <cellStyle name="Comma 7 4 5" xfId="3190" xr:uid="{00000000-0005-0000-0000-0000CB060000}"/>
    <cellStyle name="Comma 7 5" xfId="1166" xr:uid="{00000000-0005-0000-0000-0000CC060000}"/>
    <cellStyle name="Comma 7 5 2" xfId="1167" xr:uid="{00000000-0005-0000-0000-0000CD060000}"/>
    <cellStyle name="Comma 7 5 2 2" xfId="3195" xr:uid="{00000000-0005-0000-0000-0000CE060000}"/>
    <cellStyle name="Comma 7 5 3" xfId="1168" xr:uid="{00000000-0005-0000-0000-0000CF060000}"/>
    <cellStyle name="Comma 7 5 3 2" xfId="3196" xr:uid="{00000000-0005-0000-0000-0000D0060000}"/>
    <cellStyle name="Comma 7 5 4" xfId="1169" xr:uid="{00000000-0005-0000-0000-0000D1060000}"/>
    <cellStyle name="Comma 7 5 4 2" xfId="3197" xr:uid="{00000000-0005-0000-0000-0000D2060000}"/>
    <cellStyle name="Comma 7 5 5" xfId="3194" xr:uid="{00000000-0005-0000-0000-0000D3060000}"/>
    <cellStyle name="Comma 7 6" xfId="1170" xr:uid="{00000000-0005-0000-0000-0000D4060000}"/>
    <cellStyle name="Comma 7 6 2" xfId="1171" xr:uid="{00000000-0005-0000-0000-0000D5060000}"/>
    <cellStyle name="Comma 7 6 2 2" xfId="3199" xr:uid="{00000000-0005-0000-0000-0000D6060000}"/>
    <cellStyle name="Comma 7 6 3" xfId="1172" xr:uid="{00000000-0005-0000-0000-0000D7060000}"/>
    <cellStyle name="Comma 7 6 3 2" xfId="3200" xr:uid="{00000000-0005-0000-0000-0000D8060000}"/>
    <cellStyle name="Comma 7 6 4" xfId="1173" xr:uid="{00000000-0005-0000-0000-0000D9060000}"/>
    <cellStyle name="Comma 7 6 4 2" xfId="3201" xr:uid="{00000000-0005-0000-0000-0000DA060000}"/>
    <cellStyle name="Comma 7 6 5" xfId="3198" xr:uid="{00000000-0005-0000-0000-0000DB060000}"/>
    <cellStyle name="Comma 7 7" xfId="1174" xr:uid="{00000000-0005-0000-0000-0000DC060000}"/>
    <cellStyle name="Comma 7 7 2" xfId="1175" xr:uid="{00000000-0005-0000-0000-0000DD060000}"/>
    <cellStyle name="Comma 7 7 2 2" xfId="3203" xr:uid="{00000000-0005-0000-0000-0000DE060000}"/>
    <cellStyle name="Comma 7 7 3" xfId="1176" xr:uid="{00000000-0005-0000-0000-0000DF060000}"/>
    <cellStyle name="Comma 7 7 3 2" xfId="3204" xr:uid="{00000000-0005-0000-0000-0000E0060000}"/>
    <cellStyle name="Comma 7 7 4" xfId="1177" xr:uid="{00000000-0005-0000-0000-0000E1060000}"/>
    <cellStyle name="Comma 7 7 4 2" xfId="3205" xr:uid="{00000000-0005-0000-0000-0000E2060000}"/>
    <cellStyle name="Comma 7 7 5" xfId="3202" xr:uid="{00000000-0005-0000-0000-0000E3060000}"/>
    <cellStyle name="Comma 7 8" xfId="1178" xr:uid="{00000000-0005-0000-0000-0000E4060000}"/>
    <cellStyle name="Comma 7 8 2" xfId="1179" xr:uid="{00000000-0005-0000-0000-0000E5060000}"/>
    <cellStyle name="Comma 7 8 2 2" xfId="3207" xr:uid="{00000000-0005-0000-0000-0000E6060000}"/>
    <cellStyle name="Comma 7 8 3" xfId="1180" xr:uid="{00000000-0005-0000-0000-0000E7060000}"/>
    <cellStyle name="Comma 7 8 3 2" xfId="3208" xr:uid="{00000000-0005-0000-0000-0000E8060000}"/>
    <cellStyle name="Comma 7 8 4" xfId="1181" xr:uid="{00000000-0005-0000-0000-0000E9060000}"/>
    <cellStyle name="Comma 7 8 4 2" xfId="3209" xr:uid="{00000000-0005-0000-0000-0000EA060000}"/>
    <cellStyle name="Comma 7 8 5" xfId="3206" xr:uid="{00000000-0005-0000-0000-0000EB060000}"/>
    <cellStyle name="Comma 7 9" xfId="1182" xr:uid="{00000000-0005-0000-0000-0000EC060000}"/>
    <cellStyle name="Comma 7 9 2" xfId="1183" xr:uid="{00000000-0005-0000-0000-0000ED060000}"/>
    <cellStyle name="Comma 7 9 2 2" xfId="3211" xr:uid="{00000000-0005-0000-0000-0000EE060000}"/>
    <cellStyle name="Comma 7 9 3" xfId="1184" xr:uid="{00000000-0005-0000-0000-0000EF060000}"/>
    <cellStyle name="Comma 7 9 3 2" xfId="3212" xr:uid="{00000000-0005-0000-0000-0000F0060000}"/>
    <cellStyle name="Comma 7 9 4" xfId="1185" xr:uid="{00000000-0005-0000-0000-0000F1060000}"/>
    <cellStyle name="Comma 7 9 4 2" xfId="3213" xr:uid="{00000000-0005-0000-0000-0000F2060000}"/>
    <cellStyle name="Comma 7 9 5" xfId="3210" xr:uid="{00000000-0005-0000-0000-0000F3060000}"/>
    <cellStyle name="Comma 8" xfId="1186" xr:uid="{00000000-0005-0000-0000-0000F4060000}"/>
    <cellStyle name="Comma 8 10" xfId="1187" xr:uid="{00000000-0005-0000-0000-0000F5060000}"/>
    <cellStyle name="Comma 8 10 2" xfId="1188" xr:uid="{00000000-0005-0000-0000-0000F6060000}"/>
    <cellStyle name="Comma 8 10 2 2" xfId="3216" xr:uid="{00000000-0005-0000-0000-0000F7060000}"/>
    <cellStyle name="Comma 8 10 3" xfId="1189" xr:uid="{00000000-0005-0000-0000-0000F8060000}"/>
    <cellStyle name="Comma 8 10 3 2" xfId="3217" xr:uid="{00000000-0005-0000-0000-0000F9060000}"/>
    <cellStyle name="Comma 8 10 4" xfId="1190" xr:uid="{00000000-0005-0000-0000-0000FA060000}"/>
    <cellStyle name="Comma 8 10 4 2" xfId="3218" xr:uid="{00000000-0005-0000-0000-0000FB060000}"/>
    <cellStyle name="Comma 8 10 5" xfId="3215" xr:uid="{00000000-0005-0000-0000-0000FC060000}"/>
    <cellStyle name="Comma 8 11" xfId="1191" xr:uid="{00000000-0005-0000-0000-0000FD060000}"/>
    <cellStyle name="Comma 8 11 2" xfId="1192" xr:uid="{00000000-0005-0000-0000-0000FE060000}"/>
    <cellStyle name="Comma 8 11 2 2" xfId="3220" xr:uid="{00000000-0005-0000-0000-0000FF060000}"/>
    <cellStyle name="Comma 8 11 3" xfId="1193" xr:uid="{00000000-0005-0000-0000-000000070000}"/>
    <cellStyle name="Comma 8 11 3 2" xfId="3221" xr:uid="{00000000-0005-0000-0000-000001070000}"/>
    <cellStyle name="Comma 8 11 4" xfId="1194" xr:uid="{00000000-0005-0000-0000-000002070000}"/>
    <cellStyle name="Comma 8 11 4 2" xfId="3222" xr:uid="{00000000-0005-0000-0000-000003070000}"/>
    <cellStyle name="Comma 8 11 5" xfId="3219" xr:uid="{00000000-0005-0000-0000-000004070000}"/>
    <cellStyle name="Comma 8 12" xfId="1195" xr:uid="{00000000-0005-0000-0000-000005070000}"/>
    <cellStyle name="Comma 8 12 2" xfId="1196" xr:uid="{00000000-0005-0000-0000-000006070000}"/>
    <cellStyle name="Comma 8 12 2 2" xfId="3224" xr:uid="{00000000-0005-0000-0000-000007070000}"/>
    <cellStyle name="Comma 8 12 3" xfId="1197" xr:uid="{00000000-0005-0000-0000-000008070000}"/>
    <cellStyle name="Comma 8 12 3 2" xfId="3225" xr:uid="{00000000-0005-0000-0000-000009070000}"/>
    <cellStyle name="Comma 8 12 4" xfId="1198" xr:uid="{00000000-0005-0000-0000-00000A070000}"/>
    <cellStyle name="Comma 8 12 4 2" xfId="3226" xr:uid="{00000000-0005-0000-0000-00000B070000}"/>
    <cellStyle name="Comma 8 12 5" xfId="3223" xr:uid="{00000000-0005-0000-0000-00000C070000}"/>
    <cellStyle name="Comma 8 13" xfId="1199" xr:uid="{00000000-0005-0000-0000-00000D070000}"/>
    <cellStyle name="Comma 8 13 2" xfId="1200" xr:uid="{00000000-0005-0000-0000-00000E070000}"/>
    <cellStyle name="Comma 8 13 2 2" xfId="3228" xr:uid="{00000000-0005-0000-0000-00000F070000}"/>
    <cellStyle name="Comma 8 13 3" xfId="1201" xr:uid="{00000000-0005-0000-0000-000010070000}"/>
    <cellStyle name="Comma 8 13 3 2" xfId="3229" xr:uid="{00000000-0005-0000-0000-000011070000}"/>
    <cellStyle name="Comma 8 13 4" xfId="1202" xr:uid="{00000000-0005-0000-0000-000012070000}"/>
    <cellStyle name="Comma 8 13 4 2" xfId="3230" xr:uid="{00000000-0005-0000-0000-000013070000}"/>
    <cellStyle name="Comma 8 13 5" xfId="3227" xr:uid="{00000000-0005-0000-0000-000014070000}"/>
    <cellStyle name="Comma 8 14" xfId="1203" xr:uid="{00000000-0005-0000-0000-000015070000}"/>
    <cellStyle name="Comma 8 14 2" xfId="1204" xr:uid="{00000000-0005-0000-0000-000016070000}"/>
    <cellStyle name="Comma 8 14 2 2" xfId="3232" xr:uid="{00000000-0005-0000-0000-000017070000}"/>
    <cellStyle name="Comma 8 14 3" xfId="1205" xr:uid="{00000000-0005-0000-0000-000018070000}"/>
    <cellStyle name="Comma 8 14 3 2" xfId="3233" xr:uid="{00000000-0005-0000-0000-000019070000}"/>
    <cellStyle name="Comma 8 14 4" xfId="1206" xr:uid="{00000000-0005-0000-0000-00001A070000}"/>
    <cellStyle name="Comma 8 14 4 2" xfId="3234" xr:uid="{00000000-0005-0000-0000-00001B070000}"/>
    <cellStyle name="Comma 8 14 5" xfId="3231" xr:uid="{00000000-0005-0000-0000-00001C070000}"/>
    <cellStyle name="Comma 8 15" xfId="1207" xr:uid="{00000000-0005-0000-0000-00001D070000}"/>
    <cellStyle name="Comma 8 15 2" xfId="1208" xr:uid="{00000000-0005-0000-0000-00001E070000}"/>
    <cellStyle name="Comma 8 15 2 2" xfId="3236" xr:uid="{00000000-0005-0000-0000-00001F070000}"/>
    <cellStyle name="Comma 8 15 3" xfId="1209" xr:uid="{00000000-0005-0000-0000-000020070000}"/>
    <cellStyle name="Comma 8 15 3 2" xfId="3237" xr:uid="{00000000-0005-0000-0000-000021070000}"/>
    <cellStyle name="Comma 8 15 4" xfId="1210" xr:uid="{00000000-0005-0000-0000-000022070000}"/>
    <cellStyle name="Comma 8 15 4 2" xfId="3238" xr:uid="{00000000-0005-0000-0000-000023070000}"/>
    <cellStyle name="Comma 8 15 5" xfId="3235" xr:uid="{00000000-0005-0000-0000-000024070000}"/>
    <cellStyle name="Comma 8 16" xfId="1211" xr:uid="{00000000-0005-0000-0000-000025070000}"/>
    <cellStyle name="Comma 8 16 2" xfId="1212" xr:uid="{00000000-0005-0000-0000-000026070000}"/>
    <cellStyle name="Comma 8 16 2 2" xfId="3240" xr:uid="{00000000-0005-0000-0000-000027070000}"/>
    <cellStyle name="Comma 8 16 3" xfId="1213" xr:uid="{00000000-0005-0000-0000-000028070000}"/>
    <cellStyle name="Comma 8 16 3 2" xfId="3241" xr:uid="{00000000-0005-0000-0000-000029070000}"/>
    <cellStyle name="Comma 8 16 4" xfId="1214" xr:uid="{00000000-0005-0000-0000-00002A070000}"/>
    <cellStyle name="Comma 8 16 4 2" xfId="3242" xr:uid="{00000000-0005-0000-0000-00002B070000}"/>
    <cellStyle name="Comma 8 16 5" xfId="3239" xr:uid="{00000000-0005-0000-0000-00002C070000}"/>
    <cellStyle name="Comma 8 17" xfId="1215" xr:uid="{00000000-0005-0000-0000-00002D070000}"/>
    <cellStyle name="Comma 8 17 2" xfId="1216" xr:uid="{00000000-0005-0000-0000-00002E070000}"/>
    <cellStyle name="Comma 8 17 2 2" xfId="3244" xr:uid="{00000000-0005-0000-0000-00002F070000}"/>
    <cellStyle name="Comma 8 17 3" xfId="1217" xr:uid="{00000000-0005-0000-0000-000030070000}"/>
    <cellStyle name="Comma 8 17 3 2" xfId="3245" xr:uid="{00000000-0005-0000-0000-000031070000}"/>
    <cellStyle name="Comma 8 17 4" xfId="1218" xr:uid="{00000000-0005-0000-0000-000032070000}"/>
    <cellStyle name="Comma 8 17 4 2" xfId="3246" xr:uid="{00000000-0005-0000-0000-000033070000}"/>
    <cellStyle name="Comma 8 17 5" xfId="3243" xr:uid="{00000000-0005-0000-0000-000034070000}"/>
    <cellStyle name="Comma 8 18" xfId="1219" xr:uid="{00000000-0005-0000-0000-000035070000}"/>
    <cellStyle name="Comma 8 18 2" xfId="1220" xr:uid="{00000000-0005-0000-0000-000036070000}"/>
    <cellStyle name="Comma 8 18 2 2" xfId="3248" xr:uid="{00000000-0005-0000-0000-000037070000}"/>
    <cellStyle name="Comma 8 18 3" xfId="1221" xr:uid="{00000000-0005-0000-0000-000038070000}"/>
    <cellStyle name="Comma 8 18 3 2" xfId="3249" xr:uid="{00000000-0005-0000-0000-000039070000}"/>
    <cellStyle name="Comma 8 18 4" xfId="1222" xr:uid="{00000000-0005-0000-0000-00003A070000}"/>
    <cellStyle name="Comma 8 18 4 2" xfId="3250" xr:uid="{00000000-0005-0000-0000-00003B070000}"/>
    <cellStyle name="Comma 8 18 5" xfId="3247" xr:uid="{00000000-0005-0000-0000-00003C070000}"/>
    <cellStyle name="Comma 8 19" xfId="1223" xr:uid="{00000000-0005-0000-0000-00003D070000}"/>
    <cellStyle name="Comma 8 19 2" xfId="1224" xr:uid="{00000000-0005-0000-0000-00003E070000}"/>
    <cellStyle name="Comma 8 19 2 2" xfId="3252" xr:uid="{00000000-0005-0000-0000-00003F070000}"/>
    <cellStyle name="Comma 8 19 3" xfId="1225" xr:uid="{00000000-0005-0000-0000-000040070000}"/>
    <cellStyle name="Comma 8 19 3 2" xfId="3253" xr:uid="{00000000-0005-0000-0000-000041070000}"/>
    <cellStyle name="Comma 8 19 4" xfId="1226" xr:uid="{00000000-0005-0000-0000-000042070000}"/>
    <cellStyle name="Comma 8 19 4 2" xfId="3254" xr:uid="{00000000-0005-0000-0000-000043070000}"/>
    <cellStyle name="Comma 8 19 5" xfId="3251" xr:uid="{00000000-0005-0000-0000-000044070000}"/>
    <cellStyle name="Comma 8 2" xfId="1227" xr:uid="{00000000-0005-0000-0000-000045070000}"/>
    <cellStyle name="Comma 8 2 2" xfId="1228" xr:uid="{00000000-0005-0000-0000-000046070000}"/>
    <cellStyle name="Comma 8 2 2 2" xfId="3256" xr:uid="{00000000-0005-0000-0000-000047070000}"/>
    <cellStyle name="Comma 8 2 3" xfId="1229" xr:uid="{00000000-0005-0000-0000-000048070000}"/>
    <cellStyle name="Comma 8 2 3 2" xfId="3257" xr:uid="{00000000-0005-0000-0000-000049070000}"/>
    <cellStyle name="Comma 8 2 4" xfId="1230" xr:uid="{00000000-0005-0000-0000-00004A070000}"/>
    <cellStyle name="Comma 8 2 4 2" xfId="3258" xr:uid="{00000000-0005-0000-0000-00004B070000}"/>
    <cellStyle name="Comma 8 2 5" xfId="3255" xr:uid="{00000000-0005-0000-0000-00004C070000}"/>
    <cellStyle name="Comma 8 20" xfId="1231" xr:uid="{00000000-0005-0000-0000-00004D070000}"/>
    <cellStyle name="Comma 8 20 2" xfId="1232" xr:uid="{00000000-0005-0000-0000-00004E070000}"/>
    <cellStyle name="Comma 8 20 2 2" xfId="3260" xr:uid="{00000000-0005-0000-0000-00004F070000}"/>
    <cellStyle name="Comma 8 20 3" xfId="1233" xr:uid="{00000000-0005-0000-0000-000050070000}"/>
    <cellStyle name="Comma 8 20 3 2" xfId="3261" xr:uid="{00000000-0005-0000-0000-000051070000}"/>
    <cellStyle name="Comma 8 20 4" xfId="1234" xr:uid="{00000000-0005-0000-0000-000052070000}"/>
    <cellStyle name="Comma 8 20 4 2" xfId="3262" xr:uid="{00000000-0005-0000-0000-000053070000}"/>
    <cellStyle name="Comma 8 20 5" xfId="3259" xr:uid="{00000000-0005-0000-0000-000054070000}"/>
    <cellStyle name="Comma 8 21" xfId="1235" xr:uid="{00000000-0005-0000-0000-000055070000}"/>
    <cellStyle name="Comma 8 21 2" xfId="1236" xr:uid="{00000000-0005-0000-0000-000056070000}"/>
    <cellStyle name="Comma 8 21 2 2" xfId="3264" xr:uid="{00000000-0005-0000-0000-000057070000}"/>
    <cellStyle name="Comma 8 21 3" xfId="1237" xr:uid="{00000000-0005-0000-0000-000058070000}"/>
    <cellStyle name="Comma 8 21 3 2" xfId="3265" xr:uid="{00000000-0005-0000-0000-000059070000}"/>
    <cellStyle name="Comma 8 21 4" xfId="1238" xr:uid="{00000000-0005-0000-0000-00005A070000}"/>
    <cellStyle name="Comma 8 21 4 2" xfId="3266" xr:uid="{00000000-0005-0000-0000-00005B070000}"/>
    <cellStyle name="Comma 8 21 5" xfId="3263" xr:uid="{00000000-0005-0000-0000-00005C070000}"/>
    <cellStyle name="Comma 8 22" xfId="1239" xr:uid="{00000000-0005-0000-0000-00005D070000}"/>
    <cellStyle name="Comma 8 22 2" xfId="3267" xr:uid="{00000000-0005-0000-0000-00005E070000}"/>
    <cellStyle name="Comma 8 23" xfId="1240" xr:uid="{00000000-0005-0000-0000-00005F070000}"/>
    <cellStyle name="Comma 8 23 2" xfId="3268" xr:uid="{00000000-0005-0000-0000-000060070000}"/>
    <cellStyle name="Comma 8 24" xfId="1241" xr:uid="{00000000-0005-0000-0000-000061070000}"/>
    <cellStyle name="Comma 8 24 2" xfId="3269" xr:uid="{00000000-0005-0000-0000-000062070000}"/>
    <cellStyle name="Comma 8 25" xfId="3214" xr:uid="{00000000-0005-0000-0000-000063070000}"/>
    <cellStyle name="Comma 8 3" xfId="1242" xr:uid="{00000000-0005-0000-0000-000064070000}"/>
    <cellStyle name="Comma 8 3 2" xfId="1243" xr:uid="{00000000-0005-0000-0000-000065070000}"/>
    <cellStyle name="Comma 8 3 2 2" xfId="3271" xr:uid="{00000000-0005-0000-0000-000066070000}"/>
    <cellStyle name="Comma 8 3 3" xfId="1244" xr:uid="{00000000-0005-0000-0000-000067070000}"/>
    <cellStyle name="Comma 8 3 3 2" xfId="3272" xr:uid="{00000000-0005-0000-0000-000068070000}"/>
    <cellStyle name="Comma 8 3 4" xfId="1245" xr:uid="{00000000-0005-0000-0000-000069070000}"/>
    <cellStyle name="Comma 8 3 4 2" xfId="3273" xr:uid="{00000000-0005-0000-0000-00006A070000}"/>
    <cellStyle name="Comma 8 3 5" xfId="3270" xr:uid="{00000000-0005-0000-0000-00006B070000}"/>
    <cellStyle name="Comma 8 4" xfId="1246" xr:uid="{00000000-0005-0000-0000-00006C070000}"/>
    <cellStyle name="Comma 8 4 2" xfId="1247" xr:uid="{00000000-0005-0000-0000-00006D070000}"/>
    <cellStyle name="Comma 8 4 2 2" xfId="3275" xr:uid="{00000000-0005-0000-0000-00006E070000}"/>
    <cellStyle name="Comma 8 4 3" xfId="1248" xr:uid="{00000000-0005-0000-0000-00006F070000}"/>
    <cellStyle name="Comma 8 4 3 2" xfId="3276" xr:uid="{00000000-0005-0000-0000-000070070000}"/>
    <cellStyle name="Comma 8 4 4" xfId="1249" xr:uid="{00000000-0005-0000-0000-000071070000}"/>
    <cellStyle name="Comma 8 4 4 2" xfId="3277" xr:uid="{00000000-0005-0000-0000-000072070000}"/>
    <cellStyle name="Comma 8 4 5" xfId="3274" xr:uid="{00000000-0005-0000-0000-000073070000}"/>
    <cellStyle name="Comma 8 5" xfId="1250" xr:uid="{00000000-0005-0000-0000-000074070000}"/>
    <cellStyle name="Comma 8 5 2" xfId="1251" xr:uid="{00000000-0005-0000-0000-000075070000}"/>
    <cellStyle name="Comma 8 5 2 2" xfId="3279" xr:uid="{00000000-0005-0000-0000-000076070000}"/>
    <cellStyle name="Comma 8 5 3" xfId="1252" xr:uid="{00000000-0005-0000-0000-000077070000}"/>
    <cellStyle name="Comma 8 5 3 2" xfId="3280" xr:uid="{00000000-0005-0000-0000-000078070000}"/>
    <cellStyle name="Comma 8 5 4" xfId="1253" xr:uid="{00000000-0005-0000-0000-000079070000}"/>
    <cellStyle name="Comma 8 5 4 2" xfId="3281" xr:uid="{00000000-0005-0000-0000-00007A070000}"/>
    <cellStyle name="Comma 8 5 5" xfId="3278" xr:uid="{00000000-0005-0000-0000-00007B070000}"/>
    <cellStyle name="Comma 8 6" xfId="1254" xr:uid="{00000000-0005-0000-0000-00007C070000}"/>
    <cellStyle name="Comma 8 6 2" xfId="1255" xr:uid="{00000000-0005-0000-0000-00007D070000}"/>
    <cellStyle name="Comma 8 6 2 2" xfId="3283" xr:uid="{00000000-0005-0000-0000-00007E070000}"/>
    <cellStyle name="Comma 8 6 3" xfId="1256" xr:uid="{00000000-0005-0000-0000-00007F070000}"/>
    <cellStyle name="Comma 8 6 3 2" xfId="3284" xr:uid="{00000000-0005-0000-0000-000080070000}"/>
    <cellStyle name="Comma 8 6 4" xfId="1257" xr:uid="{00000000-0005-0000-0000-000081070000}"/>
    <cellStyle name="Comma 8 6 4 2" xfId="3285" xr:uid="{00000000-0005-0000-0000-000082070000}"/>
    <cellStyle name="Comma 8 6 5" xfId="3282" xr:uid="{00000000-0005-0000-0000-000083070000}"/>
    <cellStyle name="Comma 8 7" xfId="1258" xr:uid="{00000000-0005-0000-0000-000084070000}"/>
    <cellStyle name="Comma 8 7 2" xfId="1259" xr:uid="{00000000-0005-0000-0000-000085070000}"/>
    <cellStyle name="Comma 8 7 2 2" xfId="3287" xr:uid="{00000000-0005-0000-0000-000086070000}"/>
    <cellStyle name="Comma 8 7 3" xfId="1260" xr:uid="{00000000-0005-0000-0000-000087070000}"/>
    <cellStyle name="Comma 8 7 3 2" xfId="3288" xr:uid="{00000000-0005-0000-0000-000088070000}"/>
    <cellStyle name="Comma 8 7 4" xfId="1261" xr:uid="{00000000-0005-0000-0000-000089070000}"/>
    <cellStyle name="Comma 8 7 4 2" xfId="3289" xr:uid="{00000000-0005-0000-0000-00008A070000}"/>
    <cellStyle name="Comma 8 7 5" xfId="3286" xr:uid="{00000000-0005-0000-0000-00008B070000}"/>
    <cellStyle name="Comma 8 8" xfId="1262" xr:uid="{00000000-0005-0000-0000-00008C070000}"/>
    <cellStyle name="Comma 8 8 2" xfId="1263" xr:uid="{00000000-0005-0000-0000-00008D070000}"/>
    <cellStyle name="Comma 8 8 2 2" xfId="3291" xr:uid="{00000000-0005-0000-0000-00008E070000}"/>
    <cellStyle name="Comma 8 8 3" xfId="1264" xr:uid="{00000000-0005-0000-0000-00008F070000}"/>
    <cellStyle name="Comma 8 8 3 2" xfId="3292" xr:uid="{00000000-0005-0000-0000-000090070000}"/>
    <cellStyle name="Comma 8 8 4" xfId="1265" xr:uid="{00000000-0005-0000-0000-000091070000}"/>
    <cellStyle name="Comma 8 8 4 2" xfId="3293" xr:uid="{00000000-0005-0000-0000-000092070000}"/>
    <cellStyle name="Comma 8 8 5" xfId="3290" xr:uid="{00000000-0005-0000-0000-000093070000}"/>
    <cellStyle name="Comma 8 9" xfId="1266" xr:uid="{00000000-0005-0000-0000-000094070000}"/>
    <cellStyle name="Comma 8 9 2" xfId="1267" xr:uid="{00000000-0005-0000-0000-000095070000}"/>
    <cellStyle name="Comma 8 9 2 2" xfId="3295" xr:uid="{00000000-0005-0000-0000-000096070000}"/>
    <cellStyle name="Comma 8 9 3" xfId="1268" xr:uid="{00000000-0005-0000-0000-000097070000}"/>
    <cellStyle name="Comma 8 9 3 2" xfId="3296" xr:uid="{00000000-0005-0000-0000-000098070000}"/>
    <cellStyle name="Comma 8 9 4" xfId="1269" xr:uid="{00000000-0005-0000-0000-000099070000}"/>
    <cellStyle name="Comma 8 9 4 2" xfId="3297" xr:uid="{00000000-0005-0000-0000-00009A070000}"/>
    <cellStyle name="Comma 8 9 5" xfId="3294" xr:uid="{00000000-0005-0000-0000-00009B070000}"/>
    <cellStyle name="Comma 9" xfId="1270" xr:uid="{00000000-0005-0000-0000-00009C070000}"/>
    <cellStyle name="Comma 9 10" xfId="1271" xr:uid="{00000000-0005-0000-0000-00009D070000}"/>
    <cellStyle name="Comma 9 10 2" xfId="1272" xr:uid="{00000000-0005-0000-0000-00009E070000}"/>
    <cellStyle name="Comma 9 10 2 2" xfId="3299" xr:uid="{00000000-0005-0000-0000-00009F070000}"/>
    <cellStyle name="Comma 9 10 3" xfId="1273" xr:uid="{00000000-0005-0000-0000-0000A0070000}"/>
    <cellStyle name="Comma 9 10 3 2" xfId="3300" xr:uid="{00000000-0005-0000-0000-0000A1070000}"/>
    <cellStyle name="Comma 9 10 4" xfId="1274" xr:uid="{00000000-0005-0000-0000-0000A2070000}"/>
    <cellStyle name="Comma 9 10 4 2" xfId="3301" xr:uid="{00000000-0005-0000-0000-0000A3070000}"/>
    <cellStyle name="Comma 9 10 5" xfId="3298" xr:uid="{00000000-0005-0000-0000-0000A4070000}"/>
    <cellStyle name="Comma 9 11" xfId="1275" xr:uid="{00000000-0005-0000-0000-0000A5070000}"/>
    <cellStyle name="Comma 9 11 2" xfId="1276" xr:uid="{00000000-0005-0000-0000-0000A6070000}"/>
    <cellStyle name="Comma 9 11 2 2" xfId="3303" xr:uid="{00000000-0005-0000-0000-0000A7070000}"/>
    <cellStyle name="Comma 9 11 3" xfId="1277" xr:uid="{00000000-0005-0000-0000-0000A8070000}"/>
    <cellStyle name="Comma 9 11 3 2" xfId="3304" xr:uid="{00000000-0005-0000-0000-0000A9070000}"/>
    <cellStyle name="Comma 9 11 4" xfId="1278" xr:uid="{00000000-0005-0000-0000-0000AA070000}"/>
    <cellStyle name="Comma 9 11 4 2" xfId="3305" xr:uid="{00000000-0005-0000-0000-0000AB070000}"/>
    <cellStyle name="Comma 9 11 5" xfId="3302" xr:uid="{00000000-0005-0000-0000-0000AC070000}"/>
    <cellStyle name="Comma 9 12" xfId="1279" xr:uid="{00000000-0005-0000-0000-0000AD070000}"/>
    <cellStyle name="Comma 9 12 2" xfId="1280" xr:uid="{00000000-0005-0000-0000-0000AE070000}"/>
    <cellStyle name="Comma 9 12 2 2" xfId="3307" xr:uid="{00000000-0005-0000-0000-0000AF070000}"/>
    <cellStyle name="Comma 9 12 3" xfId="1281" xr:uid="{00000000-0005-0000-0000-0000B0070000}"/>
    <cellStyle name="Comma 9 12 3 2" xfId="3308" xr:uid="{00000000-0005-0000-0000-0000B1070000}"/>
    <cellStyle name="Comma 9 12 4" xfId="1282" xr:uid="{00000000-0005-0000-0000-0000B2070000}"/>
    <cellStyle name="Comma 9 12 4 2" xfId="3309" xr:uid="{00000000-0005-0000-0000-0000B3070000}"/>
    <cellStyle name="Comma 9 12 5" xfId="3306" xr:uid="{00000000-0005-0000-0000-0000B4070000}"/>
    <cellStyle name="Comma 9 13" xfId="1283" xr:uid="{00000000-0005-0000-0000-0000B5070000}"/>
    <cellStyle name="Comma 9 13 2" xfId="1284" xr:uid="{00000000-0005-0000-0000-0000B6070000}"/>
    <cellStyle name="Comma 9 13 2 2" xfId="3311" xr:uid="{00000000-0005-0000-0000-0000B7070000}"/>
    <cellStyle name="Comma 9 13 3" xfId="1285" xr:uid="{00000000-0005-0000-0000-0000B8070000}"/>
    <cellStyle name="Comma 9 13 3 2" xfId="3312" xr:uid="{00000000-0005-0000-0000-0000B9070000}"/>
    <cellStyle name="Comma 9 13 4" xfId="1286" xr:uid="{00000000-0005-0000-0000-0000BA070000}"/>
    <cellStyle name="Comma 9 13 4 2" xfId="3313" xr:uid="{00000000-0005-0000-0000-0000BB070000}"/>
    <cellStyle name="Comma 9 13 5" xfId="3310" xr:uid="{00000000-0005-0000-0000-0000BC070000}"/>
    <cellStyle name="Comma 9 14" xfId="1287" xr:uid="{00000000-0005-0000-0000-0000BD070000}"/>
    <cellStyle name="Comma 9 14 2" xfId="1288" xr:uid="{00000000-0005-0000-0000-0000BE070000}"/>
    <cellStyle name="Comma 9 14 2 2" xfId="3315" xr:uid="{00000000-0005-0000-0000-0000BF070000}"/>
    <cellStyle name="Comma 9 14 3" xfId="1289" xr:uid="{00000000-0005-0000-0000-0000C0070000}"/>
    <cellStyle name="Comma 9 14 3 2" xfId="3316" xr:uid="{00000000-0005-0000-0000-0000C1070000}"/>
    <cellStyle name="Comma 9 14 4" xfId="1290" xr:uid="{00000000-0005-0000-0000-0000C2070000}"/>
    <cellStyle name="Comma 9 14 4 2" xfId="3317" xr:uid="{00000000-0005-0000-0000-0000C3070000}"/>
    <cellStyle name="Comma 9 14 5" xfId="3314" xr:uid="{00000000-0005-0000-0000-0000C4070000}"/>
    <cellStyle name="Comma 9 15" xfId="1291" xr:uid="{00000000-0005-0000-0000-0000C5070000}"/>
    <cellStyle name="Comma 9 15 2" xfId="1292" xr:uid="{00000000-0005-0000-0000-0000C6070000}"/>
    <cellStyle name="Comma 9 15 2 2" xfId="3319" xr:uid="{00000000-0005-0000-0000-0000C7070000}"/>
    <cellStyle name="Comma 9 15 3" xfId="1293" xr:uid="{00000000-0005-0000-0000-0000C8070000}"/>
    <cellStyle name="Comma 9 15 3 2" xfId="3320" xr:uid="{00000000-0005-0000-0000-0000C9070000}"/>
    <cellStyle name="Comma 9 15 4" xfId="1294" xr:uid="{00000000-0005-0000-0000-0000CA070000}"/>
    <cellStyle name="Comma 9 15 4 2" xfId="3321" xr:uid="{00000000-0005-0000-0000-0000CB070000}"/>
    <cellStyle name="Comma 9 15 5" xfId="3318" xr:uid="{00000000-0005-0000-0000-0000CC070000}"/>
    <cellStyle name="Comma 9 16" xfId="1295" xr:uid="{00000000-0005-0000-0000-0000CD070000}"/>
    <cellStyle name="Comma 9 16 2" xfId="1296" xr:uid="{00000000-0005-0000-0000-0000CE070000}"/>
    <cellStyle name="Comma 9 16 2 2" xfId="3323" xr:uid="{00000000-0005-0000-0000-0000CF070000}"/>
    <cellStyle name="Comma 9 16 3" xfId="1297" xr:uid="{00000000-0005-0000-0000-0000D0070000}"/>
    <cellStyle name="Comma 9 16 3 2" xfId="3324" xr:uid="{00000000-0005-0000-0000-0000D1070000}"/>
    <cellStyle name="Comma 9 16 4" xfId="1298" xr:uid="{00000000-0005-0000-0000-0000D2070000}"/>
    <cellStyle name="Comma 9 16 4 2" xfId="3325" xr:uid="{00000000-0005-0000-0000-0000D3070000}"/>
    <cellStyle name="Comma 9 16 5" xfId="3322" xr:uid="{00000000-0005-0000-0000-0000D4070000}"/>
    <cellStyle name="Comma 9 17" xfId="1299" xr:uid="{00000000-0005-0000-0000-0000D5070000}"/>
    <cellStyle name="Comma 9 17 2" xfId="1300" xr:uid="{00000000-0005-0000-0000-0000D6070000}"/>
    <cellStyle name="Comma 9 17 2 2" xfId="3327" xr:uid="{00000000-0005-0000-0000-0000D7070000}"/>
    <cellStyle name="Comma 9 17 3" xfId="1301" xr:uid="{00000000-0005-0000-0000-0000D8070000}"/>
    <cellStyle name="Comma 9 17 3 2" xfId="3328" xr:uid="{00000000-0005-0000-0000-0000D9070000}"/>
    <cellStyle name="Comma 9 17 4" xfId="1302" xr:uid="{00000000-0005-0000-0000-0000DA070000}"/>
    <cellStyle name="Comma 9 17 4 2" xfId="3329" xr:uid="{00000000-0005-0000-0000-0000DB070000}"/>
    <cellStyle name="Comma 9 17 5" xfId="3326" xr:uid="{00000000-0005-0000-0000-0000DC070000}"/>
    <cellStyle name="Comma 9 18" xfId="1303" xr:uid="{00000000-0005-0000-0000-0000DD070000}"/>
    <cellStyle name="Comma 9 18 2" xfId="1304" xr:uid="{00000000-0005-0000-0000-0000DE070000}"/>
    <cellStyle name="Comma 9 18 2 2" xfId="3331" xr:uid="{00000000-0005-0000-0000-0000DF070000}"/>
    <cellStyle name="Comma 9 18 3" xfId="1305" xr:uid="{00000000-0005-0000-0000-0000E0070000}"/>
    <cellStyle name="Comma 9 18 3 2" xfId="3332" xr:uid="{00000000-0005-0000-0000-0000E1070000}"/>
    <cellStyle name="Comma 9 18 4" xfId="1306" xr:uid="{00000000-0005-0000-0000-0000E2070000}"/>
    <cellStyle name="Comma 9 18 4 2" xfId="3333" xr:uid="{00000000-0005-0000-0000-0000E3070000}"/>
    <cellStyle name="Comma 9 18 5" xfId="3330" xr:uid="{00000000-0005-0000-0000-0000E4070000}"/>
    <cellStyle name="Comma 9 19" xfId="1307" xr:uid="{00000000-0005-0000-0000-0000E5070000}"/>
    <cellStyle name="Comma 9 19 2" xfId="1308" xr:uid="{00000000-0005-0000-0000-0000E6070000}"/>
    <cellStyle name="Comma 9 19 2 2" xfId="3335" xr:uid="{00000000-0005-0000-0000-0000E7070000}"/>
    <cellStyle name="Comma 9 19 3" xfId="1309" xr:uid="{00000000-0005-0000-0000-0000E8070000}"/>
    <cellStyle name="Comma 9 19 3 2" xfId="3336" xr:uid="{00000000-0005-0000-0000-0000E9070000}"/>
    <cellStyle name="Comma 9 19 4" xfId="1310" xr:uid="{00000000-0005-0000-0000-0000EA070000}"/>
    <cellStyle name="Comma 9 19 4 2" xfId="3337" xr:uid="{00000000-0005-0000-0000-0000EB070000}"/>
    <cellStyle name="Comma 9 19 5" xfId="3334" xr:uid="{00000000-0005-0000-0000-0000EC070000}"/>
    <cellStyle name="Comma 9 2" xfId="1311" xr:uid="{00000000-0005-0000-0000-0000ED070000}"/>
    <cellStyle name="Comma 9 2 2" xfId="1312" xr:uid="{00000000-0005-0000-0000-0000EE070000}"/>
    <cellStyle name="Comma 9 2 2 2" xfId="3339" xr:uid="{00000000-0005-0000-0000-0000EF070000}"/>
    <cellStyle name="Comma 9 2 3" xfId="1313" xr:uid="{00000000-0005-0000-0000-0000F0070000}"/>
    <cellStyle name="Comma 9 2 3 2" xfId="3340" xr:uid="{00000000-0005-0000-0000-0000F1070000}"/>
    <cellStyle name="Comma 9 2 4" xfId="1314" xr:uid="{00000000-0005-0000-0000-0000F2070000}"/>
    <cellStyle name="Comma 9 2 4 2" xfId="3341" xr:uid="{00000000-0005-0000-0000-0000F3070000}"/>
    <cellStyle name="Comma 9 2 5" xfId="3338" xr:uid="{00000000-0005-0000-0000-0000F4070000}"/>
    <cellStyle name="Comma 9 20" xfId="1315" xr:uid="{00000000-0005-0000-0000-0000F5070000}"/>
    <cellStyle name="Comma 9 20 2" xfId="1316" xr:uid="{00000000-0005-0000-0000-0000F6070000}"/>
    <cellStyle name="Comma 9 20 2 2" xfId="3343" xr:uid="{00000000-0005-0000-0000-0000F7070000}"/>
    <cellStyle name="Comma 9 20 3" xfId="1317" xr:uid="{00000000-0005-0000-0000-0000F8070000}"/>
    <cellStyle name="Comma 9 20 3 2" xfId="3344" xr:uid="{00000000-0005-0000-0000-0000F9070000}"/>
    <cellStyle name="Comma 9 20 4" xfId="1318" xr:uid="{00000000-0005-0000-0000-0000FA070000}"/>
    <cellStyle name="Comma 9 20 4 2" xfId="3345" xr:uid="{00000000-0005-0000-0000-0000FB070000}"/>
    <cellStyle name="Comma 9 20 5" xfId="3342" xr:uid="{00000000-0005-0000-0000-0000FC070000}"/>
    <cellStyle name="Comma 9 21" xfId="1319" xr:uid="{00000000-0005-0000-0000-0000FD070000}"/>
    <cellStyle name="Comma 9 21 2" xfId="1320" xr:uid="{00000000-0005-0000-0000-0000FE070000}"/>
    <cellStyle name="Comma 9 21 2 2" xfId="3347" xr:uid="{00000000-0005-0000-0000-0000FF070000}"/>
    <cellStyle name="Comma 9 21 3" xfId="1321" xr:uid="{00000000-0005-0000-0000-000000080000}"/>
    <cellStyle name="Comma 9 21 3 2" xfId="3348" xr:uid="{00000000-0005-0000-0000-000001080000}"/>
    <cellStyle name="Comma 9 21 4" xfId="3346" xr:uid="{00000000-0005-0000-0000-000002080000}"/>
    <cellStyle name="Comma 9 22" xfId="1322" xr:uid="{00000000-0005-0000-0000-000003080000}"/>
    <cellStyle name="Comma 9 22 2" xfId="3349" xr:uid="{00000000-0005-0000-0000-000004080000}"/>
    <cellStyle name="Comma 9 23" xfId="1323" xr:uid="{00000000-0005-0000-0000-000005080000}"/>
    <cellStyle name="Comma 9 23 2" xfId="3350" xr:uid="{00000000-0005-0000-0000-000006080000}"/>
    <cellStyle name="Comma 9 24" xfId="1324" xr:uid="{00000000-0005-0000-0000-000007080000}"/>
    <cellStyle name="Comma 9 24 2" xfId="3351" xr:uid="{00000000-0005-0000-0000-000008080000}"/>
    <cellStyle name="Comma 9 3" xfId="1325" xr:uid="{00000000-0005-0000-0000-000009080000}"/>
    <cellStyle name="Comma 9 3 2" xfId="1326" xr:uid="{00000000-0005-0000-0000-00000A080000}"/>
    <cellStyle name="Comma 9 3 2 2" xfId="3353" xr:uid="{00000000-0005-0000-0000-00000B080000}"/>
    <cellStyle name="Comma 9 3 3" xfId="1327" xr:uid="{00000000-0005-0000-0000-00000C080000}"/>
    <cellStyle name="Comma 9 3 3 2" xfId="3354" xr:uid="{00000000-0005-0000-0000-00000D080000}"/>
    <cellStyle name="Comma 9 3 4" xfId="1328" xr:uid="{00000000-0005-0000-0000-00000E080000}"/>
    <cellStyle name="Comma 9 3 4 2" xfId="3355" xr:uid="{00000000-0005-0000-0000-00000F080000}"/>
    <cellStyle name="Comma 9 3 5" xfId="3352" xr:uid="{00000000-0005-0000-0000-000010080000}"/>
    <cellStyle name="Comma 9 4" xfId="1329" xr:uid="{00000000-0005-0000-0000-000011080000}"/>
    <cellStyle name="Comma 9 4 2" xfId="1330" xr:uid="{00000000-0005-0000-0000-000012080000}"/>
    <cellStyle name="Comma 9 4 2 2" xfId="3357" xr:uid="{00000000-0005-0000-0000-000013080000}"/>
    <cellStyle name="Comma 9 4 3" xfId="1331" xr:uid="{00000000-0005-0000-0000-000014080000}"/>
    <cellStyle name="Comma 9 4 3 2" xfId="3358" xr:uid="{00000000-0005-0000-0000-000015080000}"/>
    <cellStyle name="Comma 9 4 4" xfId="1332" xr:uid="{00000000-0005-0000-0000-000016080000}"/>
    <cellStyle name="Comma 9 4 4 2" xfId="3359" xr:uid="{00000000-0005-0000-0000-000017080000}"/>
    <cellStyle name="Comma 9 4 5" xfId="3356" xr:uid="{00000000-0005-0000-0000-000018080000}"/>
    <cellStyle name="Comma 9 5" xfId="1333" xr:uid="{00000000-0005-0000-0000-000019080000}"/>
    <cellStyle name="Comma 9 5 2" xfId="1334" xr:uid="{00000000-0005-0000-0000-00001A080000}"/>
    <cellStyle name="Comma 9 5 2 2" xfId="3361" xr:uid="{00000000-0005-0000-0000-00001B080000}"/>
    <cellStyle name="Comma 9 5 3" xfId="1335" xr:uid="{00000000-0005-0000-0000-00001C080000}"/>
    <cellStyle name="Comma 9 5 3 2" xfId="3362" xr:uid="{00000000-0005-0000-0000-00001D080000}"/>
    <cellStyle name="Comma 9 5 4" xfId="1336" xr:uid="{00000000-0005-0000-0000-00001E080000}"/>
    <cellStyle name="Comma 9 5 4 2" xfId="3363" xr:uid="{00000000-0005-0000-0000-00001F080000}"/>
    <cellStyle name="Comma 9 5 5" xfId="3360" xr:uid="{00000000-0005-0000-0000-000020080000}"/>
    <cellStyle name="Comma 9 6" xfId="1337" xr:uid="{00000000-0005-0000-0000-000021080000}"/>
    <cellStyle name="Comma 9 6 2" xfId="1338" xr:uid="{00000000-0005-0000-0000-000022080000}"/>
    <cellStyle name="Comma 9 6 2 2" xfId="3365" xr:uid="{00000000-0005-0000-0000-000023080000}"/>
    <cellStyle name="Comma 9 6 3" xfId="1339" xr:uid="{00000000-0005-0000-0000-000024080000}"/>
    <cellStyle name="Comma 9 6 3 2" xfId="3366" xr:uid="{00000000-0005-0000-0000-000025080000}"/>
    <cellStyle name="Comma 9 6 4" xfId="1340" xr:uid="{00000000-0005-0000-0000-000026080000}"/>
    <cellStyle name="Comma 9 6 4 2" xfId="3367" xr:uid="{00000000-0005-0000-0000-000027080000}"/>
    <cellStyle name="Comma 9 6 5" xfId="3364" xr:uid="{00000000-0005-0000-0000-000028080000}"/>
    <cellStyle name="Comma 9 7" xfId="1341" xr:uid="{00000000-0005-0000-0000-000029080000}"/>
    <cellStyle name="Comma 9 7 2" xfId="1342" xr:uid="{00000000-0005-0000-0000-00002A080000}"/>
    <cellStyle name="Comma 9 7 2 2" xfId="3369" xr:uid="{00000000-0005-0000-0000-00002B080000}"/>
    <cellStyle name="Comma 9 7 3" xfId="1343" xr:uid="{00000000-0005-0000-0000-00002C080000}"/>
    <cellStyle name="Comma 9 7 3 2" xfId="3370" xr:uid="{00000000-0005-0000-0000-00002D080000}"/>
    <cellStyle name="Comma 9 7 4" xfId="1344" xr:uid="{00000000-0005-0000-0000-00002E080000}"/>
    <cellStyle name="Comma 9 7 4 2" xfId="3371" xr:uid="{00000000-0005-0000-0000-00002F080000}"/>
    <cellStyle name="Comma 9 7 5" xfId="3368" xr:uid="{00000000-0005-0000-0000-000030080000}"/>
    <cellStyle name="Comma 9 8" xfId="1345" xr:uid="{00000000-0005-0000-0000-000031080000}"/>
    <cellStyle name="Comma 9 8 2" xfId="1346" xr:uid="{00000000-0005-0000-0000-000032080000}"/>
    <cellStyle name="Comma 9 8 2 2" xfId="3373" xr:uid="{00000000-0005-0000-0000-000033080000}"/>
    <cellStyle name="Comma 9 8 3" xfId="1347" xr:uid="{00000000-0005-0000-0000-000034080000}"/>
    <cellStyle name="Comma 9 8 3 2" xfId="3374" xr:uid="{00000000-0005-0000-0000-000035080000}"/>
    <cellStyle name="Comma 9 8 4" xfId="1348" xr:uid="{00000000-0005-0000-0000-000036080000}"/>
    <cellStyle name="Comma 9 8 4 2" xfId="3375" xr:uid="{00000000-0005-0000-0000-000037080000}"/>
    <cellStyle name="Comma 9 8 5" xfId="3372" xr:uid="{00000000-0005-0000-0000-000038080000}"/>
    <cellStyle name="Comma 9 9" xfId="1349" xr:uid="{00000000-0005-0000-0000-000039080000}"/>
    <cellStyle name="Comma 9 9 2" xfId="1350" xr:uid="{00000000-0005-0000-0000-00003A080000}"/>
    <cellStyle name="Comma 9 9 2 2" xfId="3377" xr:uid="{00000000-0005-0000-0000-00003B080000}"/>
    <cellStyle name="Comma 9 9 3" xfId="1351" xr:uid="{00000000-0005-0000-0000-00003C080000}"/>
    <cellStyle name="Comma 9 9 3 2" xfId="3378" xr:uid="{00000000-0005-0000-0000-00003D080000}"/>
    <cellStyle name="Comma 9 9 4" xfId="1352" xr:uid="{00000000-0005-0000-0000-00003E080000}"/>
    <cellStyle name="Comma 9 9 4 2" xfId="3379" xr:uid="{00000000-0005-0000-0000-00003F080000}"/>
    <cellStyle name="Comma 9 9 5" xfId="3376" xr:uid="{00000000-0005-0000-0000-000040080000}"/>
    <cellStyle name="Currency [0] 2" xfId="2641" xr:uid="{00000000-0005-0000-0000-000041080000}"/>
    <cellStyle name="Currency [0] 2 2" xfId="3975" xr:uid="{00000000-0005-0000-0000-000042080000}"/>
    <cellStyle name="Currency 10" xfId="1353" xr:uid="{00000000-0005-0000-0000-000043080000}"/>
    <cellStyle name="Currency 10 2" xfId="1354" xr:uid="{00000000-0005-0000-0000-000044080000}"/>
    <cellStyle name="Currency 10 2 2" xfId="3381" xr:uid="{00000000-0005-0000-0000-000045080000}"/>
    <cellStyle name="Currency 10 3" xfId="1355" xr:uid="{00000000-0005-0000-0000-000046080000}"/>
    <cellStyle name="Currency 10 3 2" xfId="3382" xr:uid="{00000000-0005-0000-0000-000047080000}"/>
    <cellStyle name="Currency 10 4" xfId="1356" xr:uid="{00000000-0005-0000-0000-000048080000}"/>
    <cellStyle name="Currency 10 4 2" xfId="3383" xr:uid="{00000000-0005-0000-0000-000049080000}"/>
    <cellStyle name="Currency 10 5" xfId="3380" xr:uid="{00000000-0005-0000-0000-00004A080000}"/>
    <cellStyle name="Currency 11" xfId="1357" xr:uid="{00000000-0005-0000-0000-00004B080000}"/>
    <cellStyle name="Currency 11 2" xfId="1358" xr:uid="{00000000-0005-0000-0000-00004C080000}"/>
    <cellStyle name="Currency 11 2 2" xfId="3385" xr:uid="{00000000-0005-0000-0000-00004D080000}"/>
    <cellStyle name="Currency 11 3" xfId="1359" xr:uid="{00000000-0005-0000-0000-00004E080000}"/>
    <cellStyle name="Currency 11 3 2" xfId="3386" xr:uid="{00000000-0005-0000-0000-00004F080000}"/>
    <cellStyle name="Currency 11 4" xfId="1360" xr:uid="{00000000-0005-0000-0000-000050080000}"/>
    <cellStyle name="Currency 11 4 2" xfId="3387" xr:uid="{00000000-0005-0000-0000-000051080000}"/>
    <cellStyle name="Currency 11 5" xfId="3384" xr:uid="{00000000-0005-0000-0000-000052080000}"/>
    <cellStyle name="Currency 12" xfId="1361" xr:uid="{00000000-0005-0000-0000-000053080000}"/>
    <cellStyle name="Currency 12 2" xfId="1362" xr:uid="{00000000-0005-0000-0000-000054080000}"/>
    <cellStyle name="Currency 12 2 2" xfId="3389" xr:uid="{00000000-0005-0000-0000-000055080000}"/>
    <cellStyle name="Currency 12 3" xfId="1363" xr:uid="{00000000-0005-0000-0000-000056080000}"/>
    <cellStyle name="Currency 12 3 2" xfId="3390" xr:uid="{00000000-0005-0000-0000-000057080000}"/>
    <cellStyle name="Currency 12 4" xfId="1364" xr:uid="{00000000-0005-0000-0000-000058080000}"/>
    <cellStyle name="Currency 12 4 2" xfId="3391" xr:uid="{00000000-0005-0000-0000-000059080000}"/>
    <cellStyle name="Currency 12 5" xfId="3388" xr:uid="{00000000-0005-0000-0000-00005A080000}"/>
    <cellStyle name="Currency 13" xfId="1365" xr:uid="{00000000-0005-0000-0000-00005B080000}"/>
    <cellStyle name="Currency 13 2" xfId="1366" xr:uid="{00000000-0005-0000-0000-00005C080000}"/>
    <cellStyle name="Currency 13 2 2" xfId="3393" xr:uid="{00000000-0005-0000-0000-00005D080000}"/>
    <cellStyle name="Currency 13 3" xfId="1367" xr:uid="{00000000-0005-0000-0000-00005E080000}"/>
    <cellStyle name="Currency 13 3 2" xfId="3394" xr:uid="{00000000-0005-0000-0000-00005F080000}"/>
    <cellStyle name="Currency 13 4" xfId="1368" xr:uid="{00000000-0005-0000-0000-000060080000}"/>
    <cellStyle name="Currency 13 4 2" xfId="3395" xr:uid="{00000000-0005-0000-0000-000061080000}"/>
    <cellStyle name="Currency 13 5" xfId="3392" xr:uid="{00000000-0005-0000-0000-000062080000}"/>
    <cellStyle name="Currency 14" xfId="1369" xr:uid="{00000000-0005-0000-0000-000063080000}"/>
    <cellStyle name="Currency 14 2" xfId="1370" xr:uid="{00000000-0005-0000-0000-000064080000}"/>
    <cellStyle name="Currency 14 2 2" xfId="3397" xr:uid="{00000000-0005-0000-0000-000065080000}"/>
    <cellStyle name="Currency 14 3" xfId="1371" xr:uid="{00000000-0005-0000-0000-000066080000}"/>
    <cellStyle name="Currency 14 3 2" xfId="3398" xr:uid="{00000000-0005-0000-0000-000067080000}"/>
    <cellStyle name="Currency 14 4" xfId="1372" xr:uid="{00000000-0005-0000-0000-000068080000}"/>
    <cellStyle name="Currency 14 4 2" xfId="3399" xr:uid="{00000000-0005-0000-0000-000069080000}"/>
    <cellStyle name="Currency 14 5" xfId="3396" xr:uid="{00000000-0005-0000-0000-00006A080000}"/>
    <cellStyle name="Currency 15" xfId="1373" xr:uid="{00000000-0005-0000-0000-00006B080000}"/>
    <cellStyle name="Currency 15 2" xfId="1374" xr:uid="{00000000-0005-0000-0000-00006C080000}"/>
    <cellStyle name="Currency 15 2 2" xfId="3401" xr:uid="{00000000-0005-0000-0000-00006D080000}"/>
    <cellStyle name="Currency 15 3" xfId="1375" xr:uid="{00000000-0005-0000-0000-00006E080000}"/>
    <cellStyle name="Currency 15 3 2" xfId="3402" xr:uid="{00000000-0005-0000-0000-00006F080000}"/>
    <cellStyle name="Currency 15 4" xfId="1376" xr:uid="{00000000-0005-0000-0000-000070080000}"/>
    <cellStyle name="Currency 15 4 2" xfId="3403" xr:uid="{00000000-0005-0000-0000-000071080000}"/>
    <cellStyle name="Currency 15 5" xfId="3400" xr:uid="{00000000-0005-0000-0000-000072080000}"/>
    <cellStyle name="Currency 16" xfId="1377" xr:uid="{00000000-0005-0000-0000-000073080000}"/>
    <cellStyle name="Currency 16 2" xfId="1378" xr:uid="{00000000-0005-0000-0000-000074080000}"/>
    <cellStyle name="Currency 16 2 2" xfId="3405" xr:uid="{00000000-0005-0000-0000-000075080000}"/>
    <cellStyle name="Currency 16 3" xfId="1379" xr:uid="{00000000-0005-0000-0000-000076080000}"/>
    <cellStyle name="Currency 16 3 2" xfId="3406" xr:uid="{00000000-0005-0000-0000-000077080000}"/>
    <cellStyle name="Currency 16 4" xfId="1380" xr:uid="{00000000-0005-0000-0000-000078080000}"/>
    <cellStyle name="Currency 16 4 2" xfId="3407" xr:uid="{00000000-0005-0000-0000-000079080000}"/>
    <cellStyle name="Currency 16 5" xfId="3404" xr:uid="{00000000-0005-0000-0000-00007A080000}"/>
    <cellStyle name="Currency 17" xfId="1381" xr:uid="{00000000-0005-0000-0000-00007B080000}"/>
    <cellStyle name="Currency 17 2" xfId="1382" xr:uid="{00000000-0005-0000-0000-00007C080000}"/>
    <cellStyle name="Currency 17 2 2" xfId="3409" xr:uid="{00000000-0005-0000-0000-00007D080000}"/>
    <cellStyle name="Currency 17 3" xfId="1383" xr:uid="{00000000-0005-0000-0000-00007E080000}"/>
    <cellStyle name="Currency 17 3 2" xfId="3410" xr:uid="{00000000-0005-0000-0000-00007F080000}"/>
    <cellStyle name="Currency 17 4" xfId="1384" xr:uid="{00000000-0005-0000-0000-000080080000}"/>
    <cellStyle name="Currency 17 4 2" xfId="3411" xr:uid="{00000000-0005-0000-0000-000081080000}"/>
    <cellStyle name="Currency 17 5" xfId="3408" xr:uid="{00000000-0005-0000-0000-000082080000}"/>
    <cellStyle name="Currency 18" xfId="1385" xr:uid="{00000000-0005-0000-0000-000083080000}"/>
    <cellStyle name="Currency 18 2" xfId="1386" xr:uid="{00000000-0005-0000-0000-000084080000}"/>
    <cellStyle name="Currency 18 2 2" xfId="3413" xr:uid="{00000000-0005-0000-0000-000085080000}"/>
    <cellStyle name="Currency 18 3" xfId="1387" xr:uid="{00000000-0005-0000-0000-000086080000}"/>
    <cellStyle name="Currency 18 3 2" xfId="3414" xr:uid="{00000000-0005-0000-0000-000087080000}"/>
    <cellStyle name="Currency 18 4" xfId="1388" xr:uid="{00000000-0005-0000-0000-000088080000}"/>
    <cellStyle name="Currency 18 4 2" xfId="3415" xr:uid="{00000000-0005-0000-0000-000089080000}"/>
    <cellStyle name="Currency 18 5" xfId="3412" xr:uid="{00000000-0005-0000-0000-00008A080000}"/>
    <cellStyle name="Currency 19" xfId="1389" xr:uid="{00000000-0005-0000-0000-00008B080000}"/>
    <cellStyle name="Currency 19 2" xfId="1390" xr:uid="{00000000-0005-0000-0000-00008C080000}"/>
    <cellStyle name="Currency 19 2 2" xfId="3417" xr:uid="{00000000-0005-0000-0000-00008D080000}"/>
    <cellStyle name="Currency 19 3" xfId="1391" xr:uid="{00000000-0005-0000-0000-00008E080000}"/>
    <cellStyle name="Currency 19 3 2" xfId="3418" xr:uid="{00000000-0005-0000-0000-00008F080000}"/>
    <cellStyle name="Currency 19 4" xfId="1392" xr:uid="{00000000-0005-0000-0000-000090080000}"/>
    <cellStyle name="Currency 19 4 2" xfId="3419" xr:uid="{00000000-0005-0000-0000-000091080000}"/>
    <cellStyle name="Currency 19 5" xfId="3416" xr:uid="{00000000-0005-0000-0000-000092080000}"/>
    <cellStyle name="Currency 2" xfId="1393" xr:uid="{00000000-0005-0000-0000-000093080000}"/>
    <cellStyle name="Currency 2 2" xfId="2633" xr:uid="{00000000-0005-0000-0000-000094080000}"/>
    <cellStyle name="Currency 2 2 2" xfId="3972" xr:uid="{00000000-0005-0000-0000-000095080000}"/>
    <cellStyle name="Currency 2 3" xfId="3983" xr:uid="{00000000-0005-0000-0000-000096080000}"/>
    <cellStyle name="Currency 2 4" xfId="3420" xr:uid="{00000000-0005-0000-0000-000097080000}"/>
    <cellStyle name="Currency 20" xfId="1394" xr:uid="{00000000-0005-0000-0000-000098080000}"/>
    <cellStyle name="Currency 20 2" xfId="1395" xr:uid="{00000000-0005-0000-0000-000099080000}"/>
    <cellStyle name="Currency 20 2 2" xfId="3422" xr:uid="{00000000-0005-0000-0000-00009A080000}"/>
    <cellStyle name="Currency 20 3" xfId="1396" xr:uid="{00000000-0005-0000-0000-00009B080000}"/>
    <cellStyle name="Currency 20 3 2" xfId="3423" xr:uid="{00000000-0005-0000-0000-00009C080000}"/>
    <cellStyle name="Currency 20 4" xfId="1397" xr:uid="{00000000-0005-0000-0000-00009D080000}"/>
    <cellStyle name="Currency 20 4 2" xfId="3424" xr:uid="{00000000-0005-0000-0000-00009E080000}"/>
    <cellStyle name="Currency 20 5" xfId="3421" xr:uid="{00000000-0005-0000-0000-00009F080000}"/>
    <cellStyle name="Currency 21" xfId="1398" xr:uid="{00000000-0005-0000-0000-0000A0080000}"/>
    <cellStyle name="Currency 21 2" xfId="1399" xr:uid="{00000000-0005-0000-0000-0000A1080000}"/>
    <cellStyle name="Currency 21 2 2" xfId="3426" xr:uid="{00000000-0005-0000-0000-0000A2080000}"/>
    <cellStyle name="Currency 21 3" xfId="1400" xr:uid="{00000000-0005-0000-0000-0000A3080000}"/>
    <cellStyle name="Currency 21 3 2" xfId="3427" xr:uid="{00000000-0005-0000-0000-0000A4080000}"/>
    <cellStyle name="Currency 21 4" xfId="1401" xr:uid="{00000000-0005-0000-0000-0000A5080000}"/>
    <cellStyle name="Currency 21 4 2" xfId="3428" xr:uid="{00000000-0005-0000-0000-0000A6080000}"/>
    <cellStyle name="Currency 21 5" xfId="3425" xr:uid="{00000000-0005-0000-0000-0000A7080000}"/>
    <cellStyle name="Currency 22" xfId="1402" xr:uid="{00000000-0005-0000-0000-0000A8080000}"/>
    <cellStyle name="Currency 22 2" xfId="1403" xr:uid="{00000000-0005-0000-0000-0000A9080000}"/>
    <cellStyle name="Currency 22 2 2" xfId="3430" xr:uid="{00000000-0005-0000-0000-0000AA080000}"/>
    <cellStyle name="Currency 22 3" xfId="1404" xr:uid="{00000000-0005-0000-0000-0000AB080000}"/>
    <cellStyle name="Currency 22 3 2" xfId="3431" xr:uid="{00000000-0005-0000-0000-0000AC080000}"/>
    <cellStyle name="Currency 22 4" xfId="1405" xr:uid="{00000000-0005-0000-0000-0000AD080000}"/>
    <cellStyle name="Currency 22 4 2" xfId="3432" xr:uid="{00000000-0005-0000-0000-0000AE080000}"/>
    <cellStyle name="Currency 22 5" xfId="3429" xr:uid="{00000000-0005-0000-0000-0000AF080000}"/>
    <cellStyle name="Currency 23" xfId="1406" xr:uid="{00000000-0005-0000-0000-0000B0080000}"/>
    <cellStyle name="Currency 23 2" xfId="1407" xr:uid="{00000000-0005-0000-0000-0000B1080000}"/>
    <cellStyle name="Currency 23 2 2" xfId="3434" xr:uid="{00000000-0005-0000-0000-0000B2080000}"/>
    <cellStyle name="Currency 23 3" xfId="1408" xr:uid="{00000000-0005-0000-0000-0000B3080000}"/>
    <cellStyle name="Currency 23 3 2" xfId="3435" xr:uid="{00000000-0005-0000-0000-0000B4080000}"/>
    <cellStyle name="Currency 23 4" xfId="1409" xr:uid="{00000000-0005-0000-0000-0000B5080000}"/>
    <cellStyle name="Currency 23 4 2" xfId="3436" xr:uid="{00000000-0005-0000-0000-0000B6080000}"/>
    <cellStyle name="Currency 23 5" xfId="3433" xr:uid="{00000000-0005-0000-0000-0000B7080000}"/>
    <cellStyle name="Currency 24" xfId="1410" xr:uid="{00000000-0005-0000-0000-0000B8080000}"/>
    <cellStyle name="Currency 24 2" xfId="1411" xr:uid="{00000000-0005-0000-0000-0000B9080000}"/>
    <cellStyle name="Currency 24 2 2" xfId="3438" xr:uid="{00000000-0005-0000-0000-0000BA080000}"/>
    <cellStyle name="Currency 24 3" xfId="1412" xr:uid="{00000000-0005-0000-0000-0000BB080000}"/>
    <cellStyle name="Currency 24 3 2" xfId="3439" xr:uid="{00000000-0005-0000-0000-0000BC080000}"/>
    <cellStyle name="Currency 24 4" xfId="1413" xr:uid="{00000000-0005-0000-0000-0000BD080000}"/>
    <cellStyle name="Currency 24 4 2" xfId="3440" xr:uid="{00000000-0005-0000-0000-0000BE080000}"/>
    <cellStyle name="Currency 24 5" xfId="3437" xr:uid="{00000000-0005-0000-0000-0000BF080000}"/>
    <cellStyle name="Currency 25" xfId="1414" xr:uid="{00000000-0005-0000-0000-0000C0080000}"/>
    <cellStyle name="Currency 25 2" xfId="1415" xr:uid="{00000000-0005-0000-0000-0000C1080000}"/>
    <cellStyle name="Currency 25 2 2" xfId="3442" xr:uid="{00000000-0005-0000-0000-0000C2080000}"/>
    <cellStyle name="Currency 25 3" xfId="1416" xr:uid="{00000000-0005-0000-0000-0000C3080000}"/>
    <cellStyle name="Currency 25 3 2" xfId="3443" xr:uid="{00000000-0005-0000-0000-0000C4080000}"/>
    <cellStyle name="Currency 25 4" xfId="1417" xr:uid="{00000000-0005-0000-0000-0000C5080000}"/>
    <cellStyle name="Currency 25 4 2" xfId="3444" xr:uid="{00000000-0005-0000-0000-0000C6080000}"/>
    <cellStyle name="Currency 25 5" xfId="3441" xr:uid="{00000000-0005-0000-0000-0000C7080000}"/>
    <cellStyle name="Currency 26" xfId="1418" xr:uid="{00000000-0005-0000-0000-0000C8080000}"/>
    <cellStyle name="Currency 26 2" xfId="1419" xr:uid="{00000000-0005-0000-0000-0000C9080000}"/>
    <cellStyle name="Currency 26 2 2" xfId="3446" xr:uid="{00000000-0005-0000-0000-0000CA080000}"/>
    <cellStyle name="Currency 26 3" xfId="1420" xr:uid="{00000000-0005-0000-0000-0000CB080000}"/>
    <cellStyle name="Currency 26 3 2" xfId="3447" xr:uid="{00000000-0005-0000-0000-0000CC080000}"/>
    <cellStyle name="Currency 26 4" xfId="1421" xr:uid="{00000000-0005-0000-0000-0000CD080000}"/>
    <cellStyle name="Currency 26 4 2" xfId="3448" xr:uid="{00000000-0005-0000-0000-0000CE080000}"/>
    <cellStyle name="Currency 26 5" xfId="3445" xr:uid="{00000000-0005-0000-0000-0000CF080000}"/>
    <cellStyle name="Currency 27" xfId="1422" xr:uid="{00000000-0005-0000-0000-0000D0080000}"/>
    <cellStyle name="Currency 27 2" xfId="1423" xr:uid="{00000000-0005-0000-0000-0000D1080000}"/>
    <cellStyle name="Currency 27 2 2" xfId="3450" xr:uid="{00000000-0005-0000-0000-0000D2080000}"/>
    <cellStyle name="Currency 27 3" xfId="1424" xr:uid="{00000000-0005-0000-0000-0000D3080000}"/>
    <cellStyle name="Currency 27 3 2" xfId="3451" xr:uid="{00000000-0005-0000-0000-0000D4080000}"/>
    <cellStyle name="Currency 27 4" xfId="1425" xr:uid="{00000000-0005-0000-0000-0000D5080000}"/>
    <cellStyle name="Currency 27 4 2" xfId="3452" xr:uid="{00000000-0005-0000-0000-0000D6080000}"/>
    <cellStyle name="Currency 27 5" xfId="3449" xr:uid="{00000000-0005-0000-0000-0000D7080000}"/>
    <cellStyle name="Currency 28" xfId="1426" xr:uid="{00000000-0005-0000-0000-0000D8080000}"/>
    <cellStyle name="Currency 28 2" xfId="3453" xr:uid="{00000000-0005-0000-0000-0000D9080000}"/>
    <cellStyle name="Currency 29" xfId="1427" xr:uid="{00000000-0005-0000-0000-0000DA080000}"/>
    <cellStyle name="Currency 29 2" xfId="3454" xr:uid="{00000000-0005-0000-0000-0000DB080000}"/>
    <cellStyle name="Currency 3" xfId="1428" xr:uid="{00000000-0005-0000-0000-0000DC080000}"/>
    <cellStyle name="Currency 3 10" xfId="1429" xr:uid="{00000000-0005-0000-0000-0000DD080000}"/>
    <cellStyle name="Currency 3 10 2" xfId="1430" xr:uid="{00000000-0005-0000-0000-0000DE080000}"/>
    <cellStyle name="Currency 3 10 2 2" xfId="3457" xr:uid="{00000000-0005-0000-0000-0000DF080000}"/>
    <cellStyle name="Currency 3 10 3" xfId="1431" xr:uid="{00000000-0005-0000-0000-0000E0080000}"/>
    <cellStyle name="Currency 3 10 3 2" xfId="3458" xr:uid="{00000000-0005-0000-0000-0000E1080000}"/>
    <cellStyle name="Currency 3 10 4" xfId="1432" xr:uid="{00000000-0005-0000-0000-0000E2080000}"/>
    <cellStyle name="Currency 3 10 4 2" xfId="3459" xr:uid="{00000000-0005-0000-0000-0000E3080000}"/>
    <cellStyle name="Currency 3 10 5" xfId="3456" xr:uid="{00000000-0005-0000-0000-0000E4080000}"/>
    <cellStyle name="Currency 3 11" xfId="1433" xr:uid="{00000000-0005-0000-0000-0000E5080000}"/>
    <cellStyle name="Currency 3 11 2" xfId="1434" xr:uid="{00000000-0005-0000-0000-0000E6080000}"/>
    <cellStyle name="Currency 3 11 2 2" xfId="3461" xr:uid="{00000000-0005-0000-0000-0000E7080000}"/>
    <cellStyle name="Currency 3 11 3" xfId="1435" xr:uid="{00000000-0005-0000-0000-0000E8080000}"/>
    <cellStyle name="Currency 3 11 3 2" xfId="3462" xr:uid="{00000000-0005-0000-0000-0000E9080000}"/>
    <cellStyle name="Currency 3 11 4" xfId="1436" xr:uid="{00000000-0005-0000-0000-0000EA080000}"/>
    <cellStyle name="Currency 3 11 4 2" xfId="3463" xr:uid="{00000000-0005-0000-0000-0000EB080000}"/>
    <cellStyle name="Currency 3 11 5" xfId="3460" xr:uid="{00000000-0005-0000-0000-0000EC080000}"/>
    <cellStyle name="Currency 3 12" xfId="1437" xr:uid="{00000000-0005-0000-0000-0000ED080000}"/>
    <cellStyle name="Currency 3 12 2" xfId="1438" xr:uid="{00000000-0005-0000-0000-0000EE080000}"/>
    <cellStyle name="Currency 3 12 2 2" xfId="3465" xr:uid="{00000000-0005-0000-0000-0000EF080000}"/>
    <cellStyle name="Currency 3 12 3" xfId="1439" xr:uid="{00000000-0005-0000-0000-0000F0080000}"/>
    <cellStyle name="Currency 3 12 3 2" xfId="3466" xr:uid="{00000000-0005-0000-0000-0000F1080000}"/>
    <cellStyle name="Currency 3 12 4" xfId="1440" xr:uid="{00000000-0005-0000-0000-0000F2080000}"/>
    <cellStyle name="Currency 3 12 4 2" xfId="3467" xr:uid="{00000000-0005-0000-0000-0000F3080000}"/>
    <cellStyle name="Currency 3 12 5" xfId="3464" xr:uid="{00000000-0005-0000-0000-0000F4080000}"/>
    <cellStyle name="Currency 3 13" xfId="1441" xr:uid="{00000000-0005-0000-0000-0000F5080000}"/>
    <cellStyle name="Currency 3 13 2" xfId="1442" xr:uid="{00000000-0005-0000-0000-0000F6080000}"/>
    <cellStyle name="Currency 3 13 2 2" xfId="3469" xr:uid="{00000000-0005-0000-0000-0000F7080000}"/>
    <cellStyle name="Currency 3 13 3" xfId="1443" xr:uid="{00000000-0005-0000-0000-0000F8080000}"/>
    <cellStyle name="Currency 3 13 3 2" xfId="3470" xr:uid="{00000000-0005-0000-0000-0000F9080000}"/>
    <cellStyle name="Currency 3 13 4" xfId="1444" xr:uid="{00000000-0005-0000-0000-0000FA080000}"/>
    <cellStyle name="Currency 3 13 4 2" xfId="3471" xr:uid="{00000000-0005-0000-0000-0000FB080000}"/>
    <cellStyle name="Currency 3 13 5" xfId="3468" xr:uid="{00000000-0005-0000-0000-0000FC080000}"/>
    <cellStyle name="Currency 3 14" xfId="1445" xr:uid="{00000000-0005-0000-0000-0000FD080000}"/>
    <cellStyle name="Currency 3 14 2" xfId="1446" xr:uid="{00000000-0005-0000-0000-0000FE080000}"/>
    <cellStyle name="Currency 3 14 2 2" xfId="3473" xr:uid="{00000000-0005-0000-0000-0000FF080000}"/>
    <cellStyle name="Currency 3 14 3" xfId="1447" xr:uid="{00000000-0005-0000-0000-000000090000}"/>
    <cellStyle name="Currency 3 14 3 2" xfId="3474" xr:uid="{00000000-0005-0000-0000-000001090000}"/>
    <cellStyle name="Currency 3 14 4" xfId="1448" xr:uid="{00000000-0005-0000-0000-000002090000}"/>
    <cellStyle name="Currency 3 14 4 2" xfId="3475" xr:uid="{00000000-0005-0000-0000-000003090000}"/>
    <cellStyle name="Currency 3 14 5" xfId="3472" xr:uid="{00000000-0005-0000-0000-000004090000}"/>
    <cellStyle name="Currency 3 15" xfId="1449" xr:uid="{00000000-0005-0000-0000-000005090000}"/>
    <cellStyle name="Currency 3 15 2" xfId="1450" xr:uid="{00000000-0005-0000-0000-000006090000}"/>
    <cellStyle name="Currency 3 15 2 2" xfId="3477" xr:uid="{00000000-0005-0000-0000-000007090000}"/>
    <cellStyle name="Currency 3 15 3" xfId="1451" xr:uid="{00000000-0005-0000-0000-000008090000}"/>
    <cellStyle name="Currency 3 15 3 2" xfId="3478" xr:uid="{00000000-0005-0000-0000-000009090000}"/>
    <cellStyle name="Currency 3 15 4" xfId="1452" xr:uid="{00000000-0005-0000-0000-00000A090000}"/>
    <cellStyle name="Currency 3 15 4 2" xfId="3479" xr:uid="{00000000-0005-0000-0000-00000B090000}"/>
    <cellStyle name="Currency 3 15 5" xfId="3476" xr:uid="{00000000-0005-0000-0000-00000C090000}"/>
    <cellStyle name="Currency 3 16" xfId="1453" xr:uid="{00000000-0005-0000-0000-00000D090000}"/>
    <cellStyle name="Currency 3 16 2" xfId="1454" xr:uid="{00000000-0005-0000-0000-00000E090000}"/>
    <cellStyle name="Currency 3 16 2 2" xfId="3481" xr:uid="{00000000-0005-0000-0000-00000F090000}"/>
    <cellStyle name="Currency 3 16 3" xfId="1455" xr:uid="{00000000-0005-0000-0000-000010090000}"/>
    <cellStyle name="Currency 3 16 3 2" xfId="3482" xr:uid="{00000000-0005-0000-0000-000011090000}"/>
    <cellStyle name="Currency 3 16 4" xfId="1456" xr:uid="{00000000-0005-0000-0000-000012090000}"/>
    <cellStyle name="Currency 3 16 4 2" xfId="3483" xr:uid="{00000000-0005-0000-0000-000013090000}"/>
    <cellStyle name="Currency 3 16 5" xfId="3480" xr:uid="{00000000-0005-0000-0000-000014090000}"/>
    <cellStyle name="Currency 3 17" xfId="1457" xr:uid="{00000000-0005-0000-0000-000015090000}"/>
    <cellStyle name="Currency 3 17 2" xfId="1458" xr:uid="{00000000-0005-0000-0000-000016090000}"/>
    <cellStyle name="Currency 3 17 2 2" xfId="3485" xr:uid="{00000000-0005-0000-0000-000017090000}"/>
    <cellStyle name="Currency 3 17 3" xfId="1459" xr:uid="{00000000-0005-0000-0000-000018090000}"/>
    <cellStyle name="Currency 3 17 3 2" xfId="3486" xr:uid="{00000000-0005-0000-0000-000019090000}"/>
    <cellStyle name="Currency 3 17 4" xfId="1460" xr:uid="{00000000-0005-0000-0000-00001A090000}"/>
    <cellStyle name="Currency 3 17 4 2" xfId="3487" xr:uid="{00000000-0005-0000-0000-00001B090000}"/>
    <cellStyle name="Currency 3 17 5" xfId="3484" xr:uid="{00000000-0005-0000-0000-00001C090000}"/>
    <cellStyle name="Currency 3 18" xfId="1461" xr:uid="{00000000-0005-0000-0000-00001D090000}"/>
    <cellStyle name="Currency 3 18 2" xfId="1462" xr:uid="{00000000-0005-0000-0000-00001E090000}"/>
    <cellStyle name="Currency 3 18 2 2" xfId="3489" xr:uid="{00000000-0005-0000-0000-00001F090000}"/>
    <cellStyle name="Currency 3 18 3" xfId="1463" xr:uid="{00000000-0005-0000-0000-000020090000}"/>
    <cellStyle name="Currency 3 18 3 2" xfId="3490" xr:uid="{00000000-0005-0000-0000-000021090000}"/>
    <cellStyle name="Currency 3 18 4" xfId="1464" xr:uid="{00000000-0005-0000-0000-000022090000}"/>
    <cellStyle name="Currency 3 18 4 2" xfId="3491" xr:uid="{00000000-0005-0000-0000-000023090000}"/>
    <cellStyle name="Currency 3 18 5" xfId="3488" xr:uid="{00000000-0005-0000-0000-000024090000}"/>
    <cellStyle name="Currency 3 19" xfId="1465" xr:uid="{00000000-0005-0000-0000-000025090000}"/>
    <cellStyle name="Currency 3 19 2" xfId="1466" xr:uid="{00000000-0005-0000-0000-000026090000}"/>
    <cellStyle name="Currency 3 19 2 2" xfId="3493" xr:uid="{00000000-0005-0000-0000-000027090000}"/>
    <cellStyle name="Currency 3 19 3" xfId="1467" xr:uid="{00000000-0005-0000-0000-000028090000}"/>
    <cellStyle name="Currency 3 19 3 2" xfId="3494" xr:uid="{00000000-0005-0000-0000-000029090000}"/>
    <cellStyle name="Currency 3 19 4" xfId="1468" xr:uid="{00000000-0005-0000-0000-00002A090000}"/>
    <cellStyle name="Currency 3 19 4 2" xfId="3495" xr:uid="{00000000-0005-0000-0000-00002B090000}"/>
    <cellStyle name="Currency 3 19 5" xfId="3492" xr:uid="{00000000-0005-0000-0000-00002C090000}"/>
    <cellStyle name="Currency 3 2" xfId="1469" xr:uid="{00000000-0005-0000-0000-00002D090000}"/>
    <cellStyle name="Currency 3 2 2" xfId="1470" xr:uid="{00000000-0005-0000-0000-00002E090000}"/>
    <cellStyle name="Currency 3 2 2 2" xfId="3497" xr:uid="{00000000-0005-0000-0000-00002F090000}"/>
    <cellStyle name="Currency 3 2 3" xfId="1471" xr:uid="{00000000-0005-0000-0000-000030090000}"/>
    <cellStyle name="Currency 3 2 3 2" xfId="3498" xr:uid="{00000000-0005-0000-0000-000031090000}"/>
    <cellStyle name="Currency 3 2 4" xfId="1472" xr:uid="{00000000-0005-0000-0000-000032090000}"/>
    <cellStyle name="Currency 3 2 4 2" xfId="3499" xr:uid="{00000000-0005-0000-0000-000033090000}"/>
    <cellStyle name="Currency 3 2 5" xfId="3496" xr:uid="{00000000-0005-0000-0000-000034090000}"/>
    <cellStyle name="Currency 3 20" xfId="1473" xr:uid="{00000000-0005-0000-0000-000035090000}"/>
    <cellStyle name="Currency 3 20 2" xfId="1474" xr:uid="{00000000-0005-0000-0000-000036090000}"/>
    <cellStyle name="Currency 3 20 2 2" xfId="3501" xr:uid="{00000000-0005-0000-0000-000037090000}"/>
    <cellStyle name="Currency 3 20 3" xfId="1475" xr:uid="{00000000-0005-0000-0000-000038090000}"/>
    <cellStyle name="Currency 3 20 3 2" xfId="3502" xr:uid="{00000000-0005-0000-0000-000039090000}"/>
    <cellStyle name="Currency 3 20 4" xfId="1476" xr:uid="{00000000-0005-0000-0000-00003A090000}"/>
    <cellStyle name="Currency 3 20 4 2" xfId="3503" xr:uid="{00000000-0005-0000-0000-00003B090000}"/>
    <cellStyle name="Currency 3 20 5" xfId="3500" xr:uid="{00000000-0005-0000-0000-00003C090000}"/>
    <cellStyle name="Currency 3 21" xfId="1477" xr:uid="{00000000-0005-0000-0000-00003D090000}"/>
    <cellStyle name="Currency 3 21 2" xfId="1478" xr:uid="{00000000-0005-0000-0000-00003E090000}"/>
    <cellStyle name="Currency 3 21 2 2" xfId="3505" xr:uid="{00000000-0005-0000-0000-00003F090000}"/>
    <cellStyle name="Currency 3 21 3" xfId="1479" xr:uid="{00000000-0005-0000-0000-000040090000}"/>
    <cellStyle name="Currency 3 21 3 2" xfId="3506" xr:uid="{00000000-0005-0000-0000-000041090000}"/>
    <cellStyle name="Currency 3 21 4" xfId="1480" xr:uid="{00000000-0005-0000-0000-000042090000}"/>
    <cellStyle name="Currency 3 21 4 2" xfId="3507" xr:uid="{00000000-0005-0000-0000-000043090000}"/>
    <cellStyle name="Currency 3 21 5" xfId="3504" xr:uid="{00000000-0005-0000-0000-000044090000}"/>
    <cellStyle name="Currency 3 22" xfId="1481" xr:uid="{00000000-0005-0000-0000-000045090000}"/>
    <cellStyle name="Currency 3 22 2" xfId="3508" xr:uid="{00000000-0005-0000-0000-000046090000}"/>
    <cellStyle name="Currency 3 23" xfId="1482" xr:uid="{00000000-0005-0000-0000-000047090000}"/>
    <cellStyle name="Currency 3 23 2" xfId="3509" xr:uid="{00000000-0005-0000-0000-000048090000}"/>
    <cellStyle name="Currency 3 24" xfId="1483" xr:uid="{00000000-0005-0000-0000-000049090000}"/>
    <cellStyle name="Currency 3 24 2" xfId="3510" xr:uid="{00000000-0005-0000-0000-00004A090000}"/>
    <cellStyle name="Currency 3 25" xfId="3455" xr:uid="{00000000-0005-0000-0000-00004B090000}"/>
    <cellStyle name="Currency 3 3" xfId="1484" xr:uid="{00000000-0005-0000-0000-00004C090000}"/>
    <cellStyle name="Currency 3 3 2" xfId="1485" xr:uid="{00000000-0005-0000-0000-00004D090000}"/>
    <cellStyle name="Currency 3 3 2 2" xfId="3512" xr:uid="{00000000-0005-0000-0000-00004E090000}"/>
    <cellStyle name="Currency 3 3 3" xfId="1486" xr:uid="{00000000-0005-0000-0000-00004F090000}"/>
    <cellStyle name="Currency 3 3 3 2" xfId="3513" xr:uid="{00000000-0005-0000-0000-000050090000}"/>
    <cellStyle name="Currency 3 3 4" xfId="1487" xr:uid="{00000000-0005-0000-0000-000051090000}"/>
    <cellStyle name="Currency 3 3 4 2" xfId="3514" xr:uid="{00000000-0005-0000-0000-000052090000}"/>
    <cellStyle name="Currency 3 3 5" xfId="3511" xr:uid="{00000000-0005-0000-0000-000053090000}"/>
    <cellStyle name="Currency 3 4" xfId="1488" xr:uid="{00000000-0005-0000-0000-000054090000}"/>
    <cellStyle name="Currency 3 4 2" xfId="1489" xr:uid="{00000000-0005-0000-0000-000055090000}"/>
    <cellStyle name="Currency 3 4 2 2" xfId="3516" xr:uid="{00000000-0005-0000-0000-000056090000}"/>
    <cellStyle name="Currency 3 4 3" xfId="1490" xr:uid="{00000000-0005-0000-0000-000057090000}"/>
    <cellStyle name="Currency 3 4 3 2" xfId="3517" xr:uid="{00000000-0005-0000-0000-000058090000}"/>
    <cellStyle name="Currency 3 4 4" xfId="1491" xr:uid="{00000000-0005-0000-0000-000059090000}"/>
    <cellStyle name="Currency 3 4 4 2" xfId="3518" xr:uid="{00000000-0005-0000-0000-00005A090000}"/>
    <cellStyle name="Currency 3 4 5" xfId="3515" xr:uid="{00000000-0005-0000-0000-00005B090000}"/>
    <cellStyle name="Currency 3 5" xfId="1492" xr:uid="{00000000-0005-0000-0000-00005C090000}"/>
    <cellStyle name="Currency 3 5 2" xfId="1493" xr:uid="{00000000-0005-0000-0000-00005D090000}"/>
    <cellStyle name="Currency 3 5 2 2" xfId="3520" xr:uid="{00000000-0005-0000-0000-00005E090000}"/>
    <cellStyle name="Currency 3 5 3" xfId="1494" xr:uid="{00000000-0005-0000-0000-00005F090000}"/>
    <cellStyle name="Currency 3 5 3 2" xfId="3521" xr:uid="{00000000-0005-0000-0000-000060090000}"/>
    <cellStyle name="Currency 3 5 4" xfId="1495" xr:uid="{00000000-0005-0000-0000-000061090000}"/>
    <cellStyle name="Currency 3 5 4 2" xfId="3522" xr:uid="{00000000-0005-0000-0000-000062090000}"/>
    <cellStyle name="Currency 3 5 5" xfId="3519" xr:uid="{00000000-0005-0000-0000-000063090000}"/>
    <cellStyle name="Currency 3 6" xfId="1496" xr:uid="{00000000-0005-0000-0000-000064090000}"/>
    <cellStyle name="Currency 3 6 2" xfId="1497" xr:uid="{00000000-0005-0000-0000-000065090000}"/>
    <cellStyle name="Currency 3 6 2 2" xfId="3524" xr:uid="{00000000-0005-0000-0000-000066090000}"/>
    <cellStyle name="Currency 3 6 3" xfId="1498" xr:uid="{00000000-0005-0000-0000-000067090000}"/>
    <cellStyle name="Currency 3 6 3 2" xfId="3525" xr:uid="{00000000-0005-0000-0000-000068090000}"/>
    <cellStyle name="Currency 3 6 4" xfId="1499" xr:uid="{00000000-0005-0000-0000-000069090000}"/>
    <cellStyle name="Currency 3 6 4 2" xfId="3526" xr:uid="{00000000-0005-0000-0000-00006A090000}"/>
    <cellStyle name="Currency 3 6 5" xfId="3523" xr:uid="{00000000-0005-0000-0000-00006B090000}"/>
    <cellStyle name="Currency 3 7" xfId="1500" xr:uid="{00000000-0005-0000-0000-00006C090000}"/>
    <cellStyle name="Currency 3 7 2" xfId="1501" xr:uid="{00000000-0005-0000-0000-00006D090000}"/>
    <cellStyle name="Currency 3 7 2 2" xfId="3528" xr:uid="{00000000-0005-0000-0000-00006E090000}"/>
    <cellStyle name="Currency 3 7 3" xfId="1502" xr:uid="{00000000-0005-0000-0000-00006F090000}"/>
    <cellStyle name="Currency 3 7 3 2" xfId="3529" xr:uid="{00000000-0005-0000-0000-000070090000}"/>
    <cellStyle name="Currency 3 7 4" xfId="1503" xr:uid="{00000000-0005-0000-0000-000071090000}"/>
    <cellStyle name="Currency 3 7 4 2" xfId="3530" xr:uid="{00000000-0005-0000-0000-000072090000}"/>
    <cellStyle name="Currency 3 7 5" xfId="3527" xr:uid="{00000000-0005-0000-0000-000073090000}"/>
    <cellStyle name="Currency 3 8" xfId="1504" xr:uid="{00000000-0005-0000-0000-000074090000}"/>
    <cellStyle name="Currency 3 8 2" xfId="1505" xr:uid="{00000000-0005-0000-0000-000075090000}"/>
    <cellStyle name="Currency 3 8 2 2" xfId="3532" xr:uid="{00000000-0005-0000-0000-000076090000}"/>
    <cellStyle name="Currency 3 8 3" xfId="1506" xr:uid="{00000000-0005-0000-0000-000077090000}"/>
    <cellStyle name="Currency 3 8 3 2" xfId="3533" xr:uid="{00000000-0005-0000-0000-000078090000}"/>
    <cellStyle name="Currency 3 8 4" xfId="1507" xr:uid="{00000000-0005-0000-0000-000079090000}"/>
    <cellStyle name="Currency 3 8 4 2" xfId="3534" xr:uid="{00000000-0005-0000-0000-00007A090000}"/>
    <cellStyle name="Currency 3 8 5" xfId="3531" xr:uid="{00000000-0005-0000-0000-00007B090000}"/>
    <cellStyle name="Currency 3 9" xfId="1508" xr:uid="{00000000-0005-0000-0000-00007C090000}"/>
    <cellStyle name="Currency 3 9 2" xfId="1509" xr:uid="{00000000-0005-0000-0000-00007D090000}"/>
    <cellStyle name="Currency 3 9 2 2" xfId="3536" xr:uid="{00000000-0005-0000-0000-00007E090000}"/>
    <cellStyle name="Currency 3 9 3" xfId="1510" xr:uid="{00000000-0005-0000-0000-00007F090000}"/>
    <cellStyle name="Currency 3 9 3 2" xfId="3537" xr:uid="{00000000-0005-0000-0000-000080090000}"/>
    <cellStyle name="Currency 3 9 4" xfId="1511" xr:uid="{00000000-0005-0000-0000-000081090000}"/>
    <cellStyle name="Currency 3 9 4 2" xfId="3538" xr:uid="{00000000-0005-0000-0000-000082090000}"/>
    <cellStyle name="Currency 3 9 5" xfId="3535" xr:uid="{00000000-0005-0000-0000-000083090000}"/>
    <cellStyle name="Currency 30" xfId="1512" xr:uid="{00000000-0005-0000-0000-000084090000}"/>
    <cellStyle name="Currency 30 2" xfId="3539" xr:uid="{00000000-0005-0000-0000-000085090000}"/>
    <cellStyle name="Currency 31" xfId="2625" xr:uid="{00000000-0005-0000-0000-000086090000}"/>
    <cellStyle name="Currency 31 2" xfId="3970" xr:uid="{00000000-0005-0000-0000-000087090000}"/>
    <cellStyle name="Currency 32" xfId="2618" xr:uid="{00000000-0005-0000-0000-000088090000}"/>
    <cellStyle name="Currency 32 2" xfId="3967" xr:uid="{00000000-0005-0000-0000-000089090000}"/>
    <cellStyle name="Currency 33" xfId="2643" xr:uid="{00000000-0005-0000-0000-00008A090000}"/>
    <cellStyle name="Currency 33 2" xfId="3976" xr:uid="{00000000-0005-0000-0000-00008B090000}"/>
    <cellStyle name="Currency 34" xfId="2635" xr:uid="{00000000-0005-0000-0000-00008C090000}"/>
    <cellStyle name="Currency 34 2" xfId="3973" xr:uid="{00000000-0005-0000-0000-00008D090000}"/>
    <cellStyle name="Currency 35" xfId="2651" xr:uid="{00000000-0005-0000-0000-00008E090000}"/>
    <cellStyle name="Currency 35 2" xfId="3979" xr:uid="{00000000-0005-0000-0000-00008F090000}"/>
    <cellStyle name="Currency 36" xfId="2655" xr:uid="{00000000-0005-0000-0000-000090090000}"/>
    <cellStyle name="Currency 36 2" xfId="3981" xr:uid="{00000000-0005-0000-0000-000091090000}"/>
    <cellStyle name="Currency 37" xfId="12" xr:uid="{00000000-0005-0000-0000-000092090000}"/>
    <cellStyle name="Currency 37 2" xfId="3982" xr:uid="{00000000-0005-0000-0000-000093090000}"/>
    <cellStyle name="Currency 37 3" xfId="3992" xr:uid="{00000000-0005-0000-0000-000094090000}"/>
    <cellStyle name="Currency 38" xfId="3985" xr:uid="{00000000-0005-0000-0000-000095090000}"/>
    <cellStyle name="Currency 38 2" xfId="3994" xr:uid="{00000000-0005-0000-0000-000096090000}"/>
    <cellStyle name="Currency 39" xfId="2656" xr:uid="{00000000-0005-0000-0000-000097090000}"/>
    <cellStyle name="Currency 4" xfId="1513" xr:uid="{00000000-0005-0000-0000-000098090000}"/>
    <cellStyle name="Currency 4 10" xfId="1514" xr:uid="{00000000-0005-0000-0000-000099090000}"/>
    <cellStyle name="Currency 4 10 2" xfId="1515" xr:uid="{00000000-0005-0000-0000-00009A090000}"/>
    <cellStyle name="Currency 4 10 2 2" xfId="3542" xr:uid="{00000000-0005-0000-0000-00009B090000}"/>
    <cellStyle name="Currency 4 10 3" xfId="1516" xr:uid="{00000000-0005-0000-0000-00009C090000}"/>
    <cellStyle name="Currency 4 10 3 2" xfId="3543" xr:uid="{00000000-0005-0000-0000-00009D090000}"/>
    <cellStyle name="Currency 4 10 4" xfId="1517" xr:uid="{00000000-0005-0000-0000-00009E090000}"/>
    <cellStyle name="Currency 4 10 4 2" xfId="3544" xr:uid="{00000000-0005-0000-0000-00009F090000}"/>
    <cellStyle name="Currency 4 10 5" xfId="3541" xr:uid="{00000000-0005-0000-0000-0000A0090000}"/>
    <cellStyle name="Currency 4 11" xfId="1518" xr:uid="{00000000-0005-0000-0000-0000A1090000}"/>
    <cellStyle name="Currency 4 11 2" xfId="1519" xr:uid="{00000000-0005-0000-0000-0000A2090000}"/>
    <cellStyle name="Currency 4 11 2 2" xfId="3546" xr:uid="{00000000-0005-0000-0000-0000A3090000}"/>
    <cellStyle name="Currency 4 11 3" xfId="1520" xr:uid="{00000000-0005-0000-0000-0000A4090000}"/>
    <cellStyle name="Currency 4 11 3 2" xfId="3547" xr:uid="{00000000-0005-0000-0000-0000A5090000}"/>
    <cellStyle name="Currency 4 11 4" xfId="1521" xr:uid="{00000000-0005-0000-0000-0000A6090000}"/>
    <cellStyle name="Currency 4 11 4 2" xfId="3548" xr:uid="{00000000-0005-0000-0000-0000A7090000}"/>
    <cellStyle name="Currency 4 11 5" xfId="3545" xr:uid="{00000000-0005-0000-0000-0000A8090000}"/>
    <cellStyle name="Currency 4 12" xfId="1522" xr:uid="{00000000-0005-0000-0000-0000A9090000}"/>
    <cellStyle name="Currency 4 12 2" xfId="1523" xr:uid="{00000000-0005-0000-0000-0000AA090000}"/>
    <cellStyle name="Currency 4 12 2 2" xfId="3550" xr:uid="{00000000-0005-0000-0000-0000AB090000}"/>
    <cellStyle name="Currency 4 12 3" xfId="1524" xr:uid="{00000000-0005-0000-0000-0000AC090000}"/>
    <cellStyle name="Currency 4 12 3 2" xfId="3551" xr:uid="{00000000-0005-0000-0000-0000AD090000}"/>
    <cellStyle name="Currency 4 12 4" xfId="1525" xr:uid="{00000000-0005-0000-0000-0000AE090000}"/>
    <cellStyle name="Currency 4 12 4 2" xfId="3552" xr:uid="{00000000-0005-0000-0000-0000AF090000}"/>
    <cellStyle name="Currency 4 12 5" xfId="3549" xr:uid="{00000000-0005-0000-0000-0000B0090000}"/>
    <cellStyle name="Currency 4 13" xfId="1526" xr:uid="{00000000-0005-0000-0000-0000B1090000}"/>
    <cellStyle name="Currency 4 13 2" xfId="1527" xr:uid="{00000000-0005-0000-0000-0000B2090000}"/>
    <cellStyle name="Currency 4 13 2 2" xfId="3554" xr:uid="{00000000-0005-0000-0000-0000B3090000}"/>
    <cellStyle name="Currency 4 13 3" xfId="1528" xr:uid="{00000000-0005-0000-0000-0000B4090000}"/>
    <cellStyle name="Currency 4 13 3 2" xfId="3555" xr:uid="{00000000-0005-0000-0000-0000B5090000}"/>
    <cellStyle name="Currency 4 13 4" xfId="1529" xr:uid="{00000000-0005-0000-0000-0000B6090000}"/>
    <cellStyle name="Currency 4 13 4 2" xfId="3556" xr:uid="{00000000-0005-0000-0000-0000B7090000}"/>
    <cellStyle name="Currency 4 13 5" xfId="3553" xr:uid="{00000000-0005-0000-0000-0000B8090000}"/>
    <cellStyle name="Currency 4 14" xfId="1530" xr:uid="{00000000-0005-0000-0000-0000B9090000}"/>
    <cellStyle name="Currency 4 14 2" xfId="1531" xr:uid="{00000000-0005-0000-0000-0000BA090000}"/>
    <cellStyle name="Currency 4 14 2 2" xfId="3558" xr:uid="{00000000-0005-0000-0000-0000BB090000}"/>
    <cellStyle name="Currency 4 14 3" xfId="1532" xr:uid="{00000000-0005-0000-0000-0000BC090000}"/>
    <cellStyle name="Currency 4 14 3 2" xfId="3559" xr:uid="{00000000-0005-0000-0000-0000BD090000}"/>
    <cellStyle name="Currency 4 14 4" xfId="1533" xr:uid="{00000000-0005-0000-0000-0000BE090000}"/>
    <cellStyle name="Currency 4 14 4 2" xfId="3560" xr:uid="{00000000-0005-0000-0000-0000BF090000}"/>
    <cellStyle name="Currency 4 14 5" xfId="3557" xr:uid="{00000000-0005-0000-0000-0000C0090000}"/>
    <cellStyle name="Currency 4 15" xfId="1534" xr:uid="{00000000-0005-0000-0000-0000C1090000}"/>
    <cellStyle name="Currency 4 15 2" xfId="1535" xr:uid="{00000000-0005-0000-0000-0000C2090000}"/>
    <cellStyle name="Currency 4 15 2 2" xfId="3562" xr:uid="{00000000-0005-0000-0000-0000C3090000}"/>
    <cellStyle name="Currency 4 15 3" xfId="1536" xr:uid="{00000000-0005-0000-0000-0000C4090000}"/>
    <cellStyle name="Currency 4 15 3 2" xfId="3563" xr:uid="{00000000-0005-0000-0000-0000C5090000}"/>
    <cellStyle name="Currency 4 15 4" xfId="1537" xr:uid="{00000000-0005-0000-0000-0000C6090000}"/>
    <cellStyle name="Currency 4 15 4 2" xfId="3564" xr:uid="{00000000-0005-0000-0000-0000C7090000}"/>
    <cellStyle name="Currency 4 15 5" xfId="3561" xr:uid="{00000000-0005-0000-0000-0000C8090000}"/>
    <cellStyle name="Currency 4 16" xfId="1538" xr:uid="{00000000-0005-0000-0000-0000C9090000}"/>
    <cellStyle name="Currency 4 16 2" xfId="1539" xr:uid="{00000000-0005-0000-0000-0000CA090000}"/>
    <cellStyle name="Currency 4 16 2 2" xfId="3566" xr:uid="{00000000-0005-0000-0000-0000CB090000}"/>
    <cellStyle name="Currency 4 16 3" xfId="1540" xr:uid="{00000000-0005-0000-0000-0000CC090000}"/>
    <cellStyle name="Currency 4 16 3 2" xfId="3567" xr:uid="{00000000-0005-0000-0000-0000CD090000}"/>
    <cellStyle name="Currency 4 16 4" xfId="1541" xr:uid="{00000000-0005-0000-0000-0000CE090000}"/>
    <cellStyle name="Currency 4 16 4 2" xfId="3568" xr:uid="{00000000-0005-0000-0000-0000CF090000}"/>
    <cellStyle name="Currency 4 16 5" xfId="3565" xr:uid="{00000000-0005-0000-0000-0000D0090000}"/>
    <cellStyle name="Currency 4 17" xfId="1542" xr:uid="{00000000-0005-0000-0000-0000D1090000}"/>
    <cellStyle name="Currency 4 17 2" xfId="1543" xr:uid="{00000000-0005-0000-0000-0000D2090000}"/>
    <cellStyle name="Currency 4 17 2 2" xfId="3570" xr:uid="{00000000-0005-0000-0000-0000D3090000}"/>
    <cellStyle name="Currency 4 17 3" xfId="1544" xr:uid="{00000000-0005-0000-0000-0000D4090000}"/>
    <cellStyle name="Currency 4 17 3 2" xfId="3571" xr:uid="{00000000-0005-0000-0000-0000D5090000}"/>
    <cellStyle name="Currency 4 17 4" xfId="1545" xr:uid="{00000000-0005-0000-0000-0000D6090000}"/>
    <cellStyle name="Currency 4 17 4 2" xfId="3572" xr:uid="{00000000-0005-0000-0000-0000D7090000}"/>
    <cellStyle name="Currency 4 17 5" xfId="3569" xr:uid="{00000000-0005-0000-0000-0000D8090000}"/>
    <cellStyle name="Currency 4 18" xfId="1546" xr:uid="{00000000-0005-0000-0000-0000D9090000}"/>
    <cellStyle name="Currency 4 18 2" xfId="1547" xr:uid="{00000000-0005-0000-0000-0000DA090000}"/>
    <cellStyle name="Currency 4 18 2 2" xfId="3574" xr:uid="{00000000-0005-0000-0000-0000DB090000}"/>
    <cellStyle name="Currency 4 18 3" xfId="1548" xr:uid="{00000000-0005-0000-0000-0000DC090000}"/>
    <cellStyle name="Currency 4 18 3 2" xfId="3575" xr:uid="{00000000-0005-0000-0000-0000DD090000}"/>
    <cellStyle name="Currency 4 18 4" xfId="1549" xr:uid="{00000000-0005-0000-0000-0000DE090000}"/>
    <cellStyle name="Currency 4 18 4 2" xfId="3576" xr:uid="{00000000-0005-0000-0000-0000DF090000}"/>
    <cellStyle name="Currency 4 18 5" xfId="3573" xr:uid="{00000000-0005-0000-0000-0000E0090000}"/>
    <cellStyle name="Currency 4 19" xfId="1550" xr:uid="{00000000-0005-0000-0000-0000E1090000}"/>
    <cellStyle name="Currency 4 19 2" xfId="1551" xr:uid="{00000000-0005-0000-0000-0000E2090000}"/>
    <cellStyle name="Currency 4 19 2 2" xfId="3578" xr:uid="{00000000-0005-0000-0000-0000E3090000}"/>
    <cellStyle name="Currency 4 19 3" xfId="1552" xr:uid="{00000000-0005-0000-0000-0000E4090000}"/>
    <cellStyle name="Currency 4 19 3 2" xfId="3579" xr:uid="{00000000-0005-0000-0000-0000E5090000}"/>
    <cellStyle name="Currency 4 19 4" xfId="1553" xr:uid="{00000000-0005-0000-0000-0000E6090000}"/>
    <cellStyle name="Currency 4 19 4 2" xfId="3580" xr:uid="{00000000-0005-0000-0000-0000E7090000}"/>
    <cellStyle name="Currency 4 19 5" xfId="3577" xr:uid="{00000000-0005-0000-0000-0000E8090000}"/>
    <cellStyle name="Currency 4 2" xfId="1554" xr:uid="{00000000-0005-0000-0000-0000E9090000}"/>
    <cellStyle name="Currency 4 2 2" xfId="1555" xr:uid="{00000000-0005-0000-0000-0000EA090000}"/>
    <cellStyle name="Currency 4 2 2 2" xfId="3582" xr:uid="{00000000-0005-0000-0000-0000EB090000}"/>
    <cellStyle name="Currency 4 2 3" xfId="1556" xr:uid="{00000000-0005-0000-0000-0000EC090000}"/>
    <cellStyle name="Currency 4 2 3 2" xfId="3583" xr:uid="{00000000-0005-0000-0000-0000ED090000}"/>
    <cellStyle name="Currency 4 2 4" xfId="1557" xr:uid="{00000000-0005-0000-0000-0000EE090000}"/>
    <cellStyle name="Currency 4 2 4 2" xfId="3584" xr:uid="{00000000-0005-0000-0000-0000EF090000}"/>
    <cellStyle name="Currency 4 2 5" xfId="3581" xr:uid="{00000000-0005-0000-0000-0000F0090000}"/>
    <cellStyle name="Currency 4 20" xfId="1558" xr:uid="{00000000-0005-0000-0000-0000F1090000}"/>
    <cellStyle name="Currency 4 20 2" xfId="1559" xr:uid="{00000000-0005-0000-0000-0000F2090000}"/>
    <cellStyle name="Currency 4 20 2 2" xfId="3586" xr:uid="{00000000-0005-0000-0000-0000F3090000}"/>
    <cellStyle name="Currency 4 20 3" xfId="1560" xr:uid="{00000000-0005-0000-0000-0000F4090000}"/>
    <cellStyle name="Currency 4 20 3 2" xfId="3587" xr:uid="{00000000-0005-0000-0000-0000F5090000}"/>
    <cellStyle name="Currency 4 20 4" xfId="1561" xr:uid="{00000000-0005-0000-0000-0000F6090000}"/>
    <cellStyle name="Currency 4 20 4 2" xfId="3588" xr:uid="{00000000-0005-0000-0000-0000F7090000}"/>
    <cellStyle name="Currency 4 20 5" xfId="3585" xr:uid="{00000000-0005-0000-0000-0000F8090000}"/>
    <cellStyle name="Currency 4 21" xfId="1562" xr:uid="{00000000-0005-0000-0000-0000F9090000}"/>
    <cellStyle name="Currency 4 21 2" xfId="1563" xr:uid="{00000000-0005-0000-0000-0000FA090000}"/>
    <cellStyle name="Currency 4 21 2 2" xfId="3590" xr:uid="{00000000-0005-0000-0000-0000FB090000}"/>
    <cellStyle name="Currency 4 21 3" xfId="1564" xr:uid="{00000000-0005-0000-0000-0000FC090000}"/>
    <cellStyle name="Currency 4 21 3 2" xfId="3591" xr:uid="{00000000-0005-0000-0000-0000FD090000}"/>
    <cellStyle name="Currency 4 21 4" xfId="1565" xr:uid="{00000000-0005-0000-0000-0000FE090000}"/>
    <cellStyle name="Currency 4 21 4 2" xfId="3592" xr:uid="{00000000-0005-0000-0000-0000FF090000}"/>
    <cellStyle name="Currency 4 21 5" xfId="3589" xr:uid="{00000000-0005-0000-0000-0000000A0000}"/>
    <cellStyle name="Currency 4 22" xfId="1566" xr:uid="{00000000-0005-0000-0000-0000010A0000}"/>
    <cellStyle name="Currency 4 22 2" xfId="3593" xr:uid="{00000000-0005-0000-0000-0000020A0000}"/>
    <cellStyle name="Currency 4 23" xfId="1567" xr:uid="{00000000-0005-0000-0000-0000030A0000}"/>
    <cellStyle name="Currency 4 23 2" xfId="3594" xr:uid="{00000000-0005-0000-0000-0000040A0000}"/>
    <cellStyle name="Currency 4 24" xfId="1568" xr:uid="{00000000-0005-0000-0000-0000050A0000}"/>
    <cellStyle name="Currency 4 24 2" xfId="3595" xr:uid="{00000000-0005-0000-0000-0000060A0000}"/>
    <cellStyle name="Currency 4 25" xfId="3540" xr:uid="{00000000-0005-0000-0000-0000070A0000}"/>
    <cellStyle name="Currency 4 3" xfId="1569" xr:uid="{00000000-0005-0000-0000-0000080A0000}"/>
    <cellStyle name="Currency 4 3 2" xfId="1570" xr:uid="{00000000-0005-0000-0000-0000090A0000}"/>
    <cellStyle name="Currency 4 3 2 2" xfId="3597" xr:uid="{00000000-0005-0000-0000-00000A0A0000}"/>
    <cellStyle name="Currency 4 3 3" xfId="1571" xr:uid="{00000000-0005-0000-0000-00000B0A0000}"/>
    <cellStyle name="Currency 4 3 3 2" xfId="3598" xr:uid="{00000000-0005-0000-0000-00000C0A0000}"/>
    <cellStyle name="Currency 4 3 4" xfId="1572" xr:uid="{00000000-0005-0000-0000-00000D0A0000}"/>
    <cellStyle name="Currency 4 3 4 2" xfId="3599" xr:uid="{00000000-0005-0000-0000-00000E0A0000}"/>
    <cellStyle name="Currency 4 3 5" xfId="3596" xr:uid="{00000000-0005-0000-0000-00000F0A0000}"/>
    <cellStyle name="Currency 4 4" xfId="1573" xr:uid="{00000000-0005-0000-0000-0000100A0000}"/>
    <cellStyle name="Currency 4 4 2" xfId="1574" xr:uid="{00000000-0005-0000-0000-0000110A0000}"/>
    <cellStyle name="Currency 4 4 2 2" xfId="3601" xr:uid="{00000000-0005-0000-0000-0000120A0000}"/>
    <cellStyle name="Currency 4 4 3" xfId="1575" xr:uid="{00000000-0005-0000-0000-0000130A0000}"/>
    <cellStyle name="Currency 4 4 3 2" xfId="3602" xr:uid="{00000000-0005-0000-0000-0000140A0000}"/>
    <cellStyle name="Currency 4 4 4" xfId="1576" xr:uid="{00000000-0005-0000-0000-0000150A0000}"/>
    <cellStyle name="Currency 4 4 4 2" xfId="3603" xr:uid="{00000000-0005-0000-0000-0000160A0000}"/>
    <cellStyle name="Currency 4 4 5" xfId="3600" xr:uid="{00000000-0005-0000-0000-0000170A0000}"/>
    <cellStyle name="Currency 4 5" xfId="1577" xr:uid="{00000000-0005-0000-0000-0000180A0000}"/>
    <cellStyle name="Currency 4 5 2" xfId="1578" xr:uid="{00000000-0005-0000-0000-0000190A0000}"/>
    <cellStyle name="Currency 4 5 2 2" xfId="3605" xr:uid="{00000000-0005-0000-0000-00001A0A0000}"/>
    <cellStyle name="Currency 4 5 3" xfId="1579" xr:uid="{00000000-0005-0000-0000-00001B0A0000}"/>
    <cellStyle name="Currency 4 5 3 2" xfId="3606" xr:uid="{00000000-0005-0000-0000-00001C0A0000}"/>
    <cellStyle name="Currency 4 5 4" xfId="1580" xr:uid="{00000000-0005-0000-0000-00001D0A0000}"/>
    <cellStyle name="Currency 4 5 4 2" xfId="3607" xr:uid="{00000000-0005-0000-0000-00001E0A0000}"/>
    <cellStyle name="Currency 4 5 5" xfId="3604" xr:uid="{00000000-0005-0000-0000-00001F0A0000}"/>
    <cellStyle name="Currency 4 6" xfId="1581" xr:uid="{00000000-0005-0000-0000-0000200A0000}"/>
    <cellStyle name="Currency 4 6 2" xfId="1582" xr:uid="{00000000-0005-0000-0000-0000210A0000}"/>
    <cellStyle name="Currency 4 6 2 2" xfId="3609" xr:uid="{00000000-0005-0000-0000-0000220A0000}"/>
    <cellStyle name="Currency 4 6 3" xfId="1583" xr:uid="{00000000-0005-0000-0000-0000230A0000}"/>
    <cellStyle name="Currency 4 6 3 2" xfId="3610" xr:uid="{00000000-0005-0000-0000-0000240A0000}"/>
    <cellStyle name="Currency 4 6 4" xfId="1584" xr:uid="{00000000-0005-0000-0000-0000250A0000}"/>
    <cellStyle name="Currency 4 6 4 2" xfId="3611" xr:uid="{00000000-0005-0000-0000-0000260A0000}"/>
    <cellStyle name="Currency 4 6 5" xfId="3608" xr:uid="{00000000-0005-0000-0000-0000270A0000}"/>
    <cellStyle name="Currency 4 7" xfId="1585" xr:uid="{00000000-0005-0000-0000-0000280A0000}"/>
    <cellStyle name="Currency 4 7 2" xfId="1586" xr:uid="{00000000-0005-0000-0000-0000290A0000}"/>
    <cellStyle name="Currency 4 7 2 2" xfId="3613" xr:uid="{00000000-0005-0000-0000-00002A0A0000}"/>
    <cellStyle name="Currency 4 7 3" xfId="1587" xr:uid="{00000000-0005-0000-0000-00002B0A0000}"/>
    <cellStyle name="Currency 4 7 3 2" xfId="3614" xr:uid="{00000000-0005-0000-0000-00002C0A0000}"/>
    <cellStyle name="Currency 4 7 4" xfId="1588" xr:uid="{00000000-0005-0000-0000-00002D0A0000}"/>
    <cellStyle name="Currency 4 7 4 2" xfId="3615" xr:uid="{00000000-0005-0000-0000-00002E0A0000}"/>
    <cellStyle name="Currency 4 7 5" xfId="3612" xr:uid="{00000000-0005-0000-0000-00002F0A0000}"/>
    <cellStyle name="Currency 4 8" xfId="1589" xr:uid="{00000000-0005-0000-0000-0000300A0000}"/>
    <cellStyle name="Currency 4 8 2" xfId="1590" xr:uid="{00000000-0005-0000-0000-0000310A0000}"/>
    <cellStyle name="Currency 4 8 2 2" xfId="3617" xr:uid="{00000000-0005-0000-0000-0000320A0000}"/>
    <cellStyle name="Currency 4 8 3" xfId="1591" xr:uid="{00000000-0005-0000-0000-0000330A0000}"/>
    <cellStyle name="Currency 4 8 3 2" xfId="3618" xr:uid="{00000000-0005-0000-0000-0000340A0000}"/>
    <cellStyle name="Currency 4 8 4" xfId="1592" xr:uid="{00000000-0005-0000-0000-0000350A0000}"/>
    <cellStyle name="Currency 4 8 4 2" xfId="3619" xr:uid="{00000000-0005-0000-0000-0000360A0000}"/>
    <cellStyle name="Currency 4 8 5" xfId="3616" xr:uid="{00000000-0005-0000-0000-0000370A0000}"/>
    <cellStyle name="Currency 4 9" xfId="1593" xr:uid="{00000000-0005-0000-0000-0000380A0000}"/>
    <cellStyle name="Currency 4 9 2" xfId="1594" xr:uid="{00000000-0005-0000-0000-0000390A0000}"/>
    <cellStyle name="Currency 4 9 2 2" xfId="3621" xr:uid="{00000000-0005-0000-0000-00003A0A0000}"/>
    <cellStyle name="Currency 4 9 3" xfId="1595" xr:uid="{00000000-0005-0000-0000-00003B0A0000}"/>
    <cellStyle name="Currency 4 9 3 2" xfId="3622" xr:uid="{00000000-0005-0000-0000-00003C0A0000}"/>
    <cellStyle name="Currency 4 9 4" xfId="1596" xr:uid="{00000000-0005-0000-0000-00003D0A0000}"/>
    <cellStyle name="Currency 4 9 4 2" xfId="3623" xr:uid="{00000000-0005-0000-0000-00003E0A0000}"/>
    <cellStyle name="Currency 4 9 5" xfId="3620" xr:uid="{00000000-0005-0000-0000-00003F0A0000}"/>
    <cellStyle name="Currency 40" xfId="3962" xr:uid="{00000000-0005-0000-0000-0000400A0000}"/>
    <cellStyle name="Currency 41" xfId="3991" xr:uid="{00000000-0005-0000-0000-0000410A0000}"/>
    <cellStyle name="Currency 5" xfId="1597" xr:uid="{00000000-0005-0000-0000-0000420A0000}"/>
    <cellStyle name="Currency 5 10" xfId="1598" xr:uid="{00000000-0005-0000-0000-0000430A0000}"/>
    <cellStyle name="Currency 5 10 2" xfId="1599" xr:uid="{00000000-0005-0000-0000-0000440A0000}"/>
    <cellStyle name="Currency 5 10 2 2" xfId="3626" xr:uid="{00000000-0005-0000-0000-0000450A0000}"/>
    <cellStyle name="Currency 5 10 3" xfId="1600" xr:uid="{00000000-0005-0000-0000-0000460A0000}"/>
    <cellStyle name="Currency 5 10 3 2" xfId="3627" xr:uid="{00000000-0005-0000-0000-0000470A0000}"/>
    <cellStyle name="Currency 5 10 4" xfId="1601" xr:uid="{00000000-0005-0000-0000-0000480A0000}"/>
    <cellStyle name="Currency 5 10 4 2" xfId="3628" xr:uid="{00000000-0005-0000-0000-0000490A0000}"/>
    <cellStyle name="Currency 5 10 5" xfId="3625" xr:uid="{00000000-0005-0000-0000-00004A0A0000}"/>
    <cellStyle name="Currency 5 11" xfId="1602" xr:uid="{00000000-0005-0000-0000-00004B0A0000}"/>
    <cellStyle name="Currency 5 11 2" xfId="1603" xr:uid="{00000000-0005-0000-0000-00004C0A0000}"/>
    <cellStyle name="Currency 5 11 2 2" xfId="3630" xr:uid="{00000000-0005-0000-0000-00004D0A0000}"/>
    <cellStyle name="Currency 5 11 3" xfId="1604" xr:uid="{00000000-0005-0000-0000-00004E0A0000}"/>
    <cellStyle name="Currency 5 11 3 2" xfId="3631" xr:uid="{00000000-0005-0000-0000-00004F0A0000}"/>
    <cellStyle name="Currency 5 11 4" xfId="1605" xr:uid="{00000000-0005-0000-0000-0000500A0000}"/>
    <cellStyle name="Currency 5 11 4 2" xfId="3632" xr:uid="{00000000-0005-0000-0000-0000510A0000}"/>
    <cellStyle name="Currency 5 11 5" xfId="3629" xr:uid="{00000000-0005-0000-0000-0000520A0000}"/>
    <cellStyle name="Currency 5 12" xfId="1606" xr:uid="{00000000-0005-0000-0000-0000530A0000}"/>
    <cellStyle name="Currency 5 12 2" xfId="1607" xr:uid="{00000000-0005-0000-0000-0000540A0000}"/>
    <cellStyle name="Currency 5 12 2 2" xfId="3634" xr:uid="{00000000-0005-0000-0000-0000550A0000}"/>
    <cellStyle name="Currency 5 12 3" xfId="1608" xr:uid="{00000000-0005-0000-0000-0000560A0000}"/>
    <cellStyle name="Currency 5 12 3 2" xfId="3635" xr:uid="{00000000-0005-0000-0000-0000570A0000}"/>
    <cellStyle name="Currency 5 12 4" xfId="1609" xr:uid="{00000000-0005-0000-0000-0000580A0000}"/>
    <cellStyle name="Currency 5 12 4 2" xfId="3636" xr:uid="{00000000-0005-0000-0000-0000590A0000}"/>
    <cellStyle name="Currency 5 12 5" xfId="3633" xr:uid="{00000000-0005-0000-0000-00005A0A0000}"/>
    <cellStyle name="Currency 5 13" xfId="1610" xr:uid="{00000000-0005-0000-0000-00005B0A0000}"/>
    <cellStyle name="Currency 5 13 2" xfId="1611" xr:uid="{00000000-0005-0000-0000-00005C0A0000}"/>
    <cellStyle name="Currency 5 13 2 2" xfId="3638" xr:uid="{00000000-0005-0000-0000-00005D0A0000}"/>
    <cellStyle name="Currency 5 13 3" xfId="1612" xr:uid="{00000000-0005-0000-0000-00005E0A0000}"/>
    <cellStyle name="Currency 5 13 3 2" xfId="3639" xr:uid="{00000000-0005-0000-0000-00005F0A0000}"/>
    <cellStyle name="Currency 5 13 4" xfId="1613" xr:uid="{00000000-0005-0000-0000-0000600A0000}"/>
    <cellStyle name="Currency 5 13 4 2" xfId="3640" xr:uid="{00000000-0005-0000-0000-0000610A0000}"/>
    <cellStyle name="Currency 5 13 5" xfId="3637" xr:uid="{00000000-0005-0000-0000-0000620A0000}"/>
    <cellStyle name="Currency 5 14" xfId="1614" xr:uid="{00000000-0005-0000-0000-0000630A0000}"/>
    <cellStyle name="Currency 5 14 2" xfId="1615" xr:uid="{00000000-0005-0000-0000-0000640A0000}"/>
    <cellStyle name="Currency 5 14 2 2" xfId="3642" xr:uid="{00000000-0005-0000-0000-0000650A0000}"/>
    <cellStyle name="Currency 5 14 3" xfId="1616" xr:uid="{00000000-0005-0000-0000-0000660A0000}"/>
    <cellStyle name="Currency 5 14 3 2" xfId="3643" xr:uid="{00000000-0005-0000-0000-0000670A0000}"/>
    <cellStyle name="Currency 5 14 4" xfId="1617" xr:uid="{00000000-0005-0000-0000-0000680A0000}"/>
    <cellStyle name="Currency 5 14 4 2" xfId="3644" xr:uid="{00000000-0005-0000-0000-0000690A0000}"/>
    <cellStyle name="Currency 5 14 5" xfId="3641" xr:uid="{00000000-0005-0000-0000-00006A0A0000}"/>
    <cellStyle name="Currency 5 15" xfId="1618" xr:uid="{00000000-0005-0000-0000-00006B0A0000}"/>
    <cellStyle name="Currency 5 15 2" xfId="1619" xr:uid="{00000000-0005-0000-0000-00006C0A0000}"/>
    <cellStyle name="Currency 5 15 2 2" xfId="3646" xr:uid="{00000000-0005-0000-0000-00006D0A0000}"/>
    <cellStyle name="Currency 5 15 3" xfId="1620" xr:uid="{00000000-0005-0000-0000-00006E0A0000}"/>
    <cellStyle name="Currency 5 15 3 2" xfId="3647" xr:uid="{00000000-0005-0000-0000-00006F0A0000}"/>
    <cellStyle name="Currency 5 15 4" xfId="1621" xr:uid="{00000000-0005-0000-0000-0000700A0000}"/>
    <cellStyle name="Currency 5 15 4 2" xfId="3648" xr:uid="{00000000-0005-0000-0000-0000710A0000}"/>
    <cellStyle name="Currency 5 15 5" xfId="3645" xr:uid="{00000000-0005-0000-0000-0000720A0000}"/>
    <cellStyle name="Currency 5 16" xfId="1622" xr:uid="{00000000-0005-0000-0000-0000730A0000}"/>
    <cellStyle name="Currency 5 16 2" xfId="1623" xr:uid="{00000000-0005-0000-0000-0000740A0000}"/>
    <cellStyle name="Currency 5 16 2 2" xfId="3650" xr:uid="{00000000-0005-0000-0000-0000750A0000}"/>
    <cellStyle name="Currency 5 16 3" xfId="1624" xr:uid="{00000000-0005-0000-0000-0000760A0000}"/>
    <cellStyle name="Currency 5 16 3 2" xfId="3651" xr:uid="{00000000-0005-0000-0000-0000770A0000}"/>
    <cellStyle name="Currency 5 16 4" xfId="1625" xr:uid="{00000000-0005-0000-0000-0000780A0000}"/>
    <cellStyle name="Currency 5 16 4 2" xfId="3652" xr:uid="{00000000-0005-0000-0000-0000790A0000}"/>
    <cellStyle name="Currency 5 16 5" xfId="3649" xr:uid="{00000000-0005-0000-0000-00007A0A0000}"/>
    <cellStyle name="Currency 5 17" xfId="1626" xr:uid="{00000000-0005-0000-0000-00007B0A0000}"/>
    <cellStyle name="Currency 5 17 2" xfId="1627" xr:uid="{00000000-0005-0000-0000-00007C0A0000}"/>
    <cellStyle name="Currency 5 17 2 2" xfId="3654" xr:uid="{00000000-0005-0000-0000-00007D0A0000}"/>
    <cellStyle name="Currency 5 17 3" xfId="1628" xr:uid="{00000000-0005-0000-0000-00007E0A0000}"/>
    <cellStyle name="Currency 5 17 3 2" xfId="3655" xr:uid="{00000000-0005-0000-0000-00007F0A0000}"/>
    <cellStyle name="Currency 5 17 4" xfId="1629" xr:uid="{00000000-0005-0000-0000-0000800A0000}"/>
    <cellStyle name="Currency 5 17 4 2" xfId="3656" xr:uid="{00000000-0005-0000-0000-0000810A0000}"/>
    <cellStyle name="Currency 5 17 5" xfId="3653" xr:uid="{00000000-0005-0000-0000-0000820A0000}"/>
    <cellStyle name="Currency 5 18" xfId="1630" xr:uid="{00000000-0005-0000-0000-0000830A0000}"/>
    <cellStyle name="Currency 5 18 2" xfId="1631" xr:uid="{00000000-0005-0000-0000-0000840A0000}"/>
    <cellStyle name="Currency 5 18 2 2" xfId="3658" xr:uid="{00000000-0005-0000-0000-0000850A0000}"/>
    <cellStyle name="Currency 5 18 3" xfId="1632" xr:uid="{00000000-0005-0000-0000-0000860A0000}"/>
    <cellStyle name="Currency 5 18 3 2" xfId="3659" xr:uid="{00000000-0005-0000-0000-0000870A0000}"/>
    <cellStyle name="Currency 5 18 4" xfId="1633" xr:uid="{00000000-0005-0000-0000-0000880A0000}"/>
    <cellStyle name="Currency 5 18 4 2" xfId="3660" xr:uid="{00000000-0005-0000-0000-0000890A0000}"/>
    <cellStyle name="Currency 5 18 5" xfId="3657" xr:uid="{00000000-0005-0000-0000-00008A0A0000}"/>
    <cellStyle name="Currency 5 19" xfId="1634" xr:uid="{00000000-0005-0000-0000-00008B0A0000}"/>
    <cellStyle name="Currency 5 19 2" xfId="1635" xr:uid="{00000000-0005-0000-0000-00008C0A0000}"/>
    <cellStyle name="Currency 5 19 2 2" xfId="3662" xr:uid="{00000000-0005-0000-0000-00008D0A0000}"/>
    <cellStyle name="Currency 5 19 3" xfId="1636" xr:uid="{00000000-0005-0000-0000-00008E0A0000}"/>
    <cellStyle name="Currency 5 19 3 2" xfId="3663" xr:uid="{00000000-0005-0000-0000-00008F0A0000}"/>
    <cellStyle name="Currency 5 19 4" xfId="1637" xr:uid="{00000000-0005-0000-0000-0000900A0000}"/>
    <cellStyle name="Currency 5 19 4 2" xfId="3664" xr:uid="{00000000-0005-0000-0000-0000910A0000}"/>
    <cellStyle name="Currency 5 19 5" xfId="3661" xr:uid="{00000000-0005-0000-0000-0000920A0000}"/>
    <cellStyle name="Currency 5 2" xfId="1638" xr:uid="{00000000-0005-0000-0000-0000930A0000}"/>
    <cellStyle name="Currency 5 2 2" xfId="1639" xr:uid="{00000000-0005-0000-0000-0000940A0000}"/>
    <cellStyle name="Currency 5 2 2 2" xfId="3666" xr:uid="{00000000-0005-0000-0000-0000950A0000}"/>
    <cellStyle name="Currency 5 2 3" xfId="1640" xr:uid="{00000000-0005-0000-0000-0000960A0000}"/>
    <cellStyle name="Currency 5 2 3 2" xfId="3667" xr:uid="{00000000-0005-0000-0000-0000970A0000}"/>
    <cellStyle name="Currency 5 2 4" xfId="1641" xr:uid="{00000000-0005-0000-0000-0000980A0000}"/>
    <cellStyle name="Currency 5 2 4 2" xfId="3668" xr:uid="{00000000-0005-0000-0000-0000990A0000}"/>
    <cellStyle name="Currency 5 2 5" xfId="3665" xr:uid="{00000000-0005-0000-0000-00009A0A0000}"/>
    <cellStyle name="Currency 5 20" xfId="1642" xr:uid="{00000000-0005-0000-0000-00009B0A0000}"/>
    <cellStyle name="Currency 5 20 2" xfId="1643" xr:uid="{00000000-0005-0000-0000-00009C0A0000}"/>
    <cellStyle name="Currency 5 20 2 2" xfId="3670" xr:uid="{00000000-0005-0000-0000-00009D0A0000}"/>
    <cellStyle name="Currency 5 20 3" xfId="1644" xr:uid="{00000000-0005-0000-0000-00009E0A0000}"/>
    <cellStyle name="Currency 5 20 3 2" xfId="3671" xr:uid="{00000000-0005-0000-0000-00009F0A0000}"/>
    <cellStyle name="Currency 5 20 4" xfId="1645" xr:uid="{00000000-0005-0000-0000-0000A00A0000}"/>
    <cellStyle name="Currency 5 20 4 2" xfId="3672" xr:uid="{00000000-0005-0000-0000-0000A10A0000}"/>
    <cellStyle name="Currency 5 20 5" xfId="3669" xr:uid="{00000000-0005-0000-0000-0000A20A0000}"/>
    <cellStyle name="Currency 5 21" xfId="1646" xr:uid="{00000000-0005-0000-0000-0000A30A0000}"/>
    <cellStyle name="Currency 5 21 2" xfId="1647" xr:uid="{00000000-0005-0000-0000-0000A40A0000}"/>
    <cellStyle name="Currency 5 21 2 2" xfId="3674" xr:uid="{00000000-0005-0000-0000-0000A50A0000}"/>
    <cellStyle name="Currency 5 21 3" xfId="1648" xr:uid="{00000000-0005-0000-0000-0000A60A0000}"/>
    <cellStyle name="Currency 5 21 3 2" xfId="3675" xr:uid="{00000000-0005-0000-0000-0000A70A0000}"/>
    <cellStyle name="Currency 5 21 4" xfId="1649" xr:uid="{00000000-0005-0000-0000-0000A80A0000}"/>
    <cellStyle name="Currency 5 21 4 2" xfId="3676" xr:uid="{00000000-0005-0000-0000-0000A90A0000}"/>
    <cellStyle name="Currency 5 21 5" xfId="3673" xr:uid="{00000000-0005-0000-0000-0000AA0A0000}"/>
    <cellStyle name="Currency 5 22" xfId="1650" xr:uid="{00000000-0005-0000-0000-0000AB0A0000}"/>
    <cellStyle name="Currency 5 22 2" xfId="3677" xr:uid="{00000000-0005-0000-0000-0000AC0A0000}"/>
    <cellStyle name="Currency 5 23" xfId="1651" xr:uid="{00000000-0005-0000-0000-0000AD0A0000}"/>
    <cellStyle name="Currency 5 23 2" xfId="3678" xr:uid="{00000000-0005-0000-0000-0000AE0A0000}"/>
    <cellStyle name="Currency 5 24" xfId="1652" xr:uid="{00000000-0005-0000-0000-0000AF0A0000}"/>
    <cellStyle name="Currency 5 24 2" xfId="3679" xr:uid="{00000000-0005-0000-0000-0000B00A0000}"/>
    <cellStyle name="Currency 5 25" xfId="3624" xr:uid="{00000000-0005-0000-0000-0000B10A0000}"/>
    <cellStyle name="Currency 5 3" xfId="1653" xr:uid="{00000000-0005-0000-0000-0000B20A0000}"/>
    <cellStyle name="Currency 5 3 2" xfId="1654" xr:uid="{00000000-0005-0000-0000-0000B30A0000}"/>
    <cellStyle name="Currency 5 3 2 2" xfId="3681" xr:uid="{00000000-0005-0000-0000-0000B40A0000}"/>
    <cellStyle name="Currency 5 3 3" xfId="1655" xr:uid="{00000000-0005-0000-0000-0000B50A0000}"/>
    <cellStyle name="Currency 5 3 3 2" xfId="3682" xr:uid="{00000000-0005-0000-0000-0000B60A0000}"/>
    <cellStyle name="Currency 5 3 4" xfId="1656" xr:uid="{00000000-0005-0000-0000-0000B70A0000}"/>
    <cellStyle name="Currency 5 3 4 2" xfId="3683" xr:uid="{00000000-0005-0000-0000-0000B80A0000}"/>
    <cellStyle name="Currency 5 3 5" xfId="3680" xr:uid="{00000000-0005-0000-0000-0000B90A0000}"/>
    <cellStyle name="Currency 5 4" xfId="1657" xr:uid="{00000000-0005-0000-0000-0000BA0A0000}"/>
    <cellStyle name="Currency 5 4 2" xfId="1658" xr:uid="{00000000-0005-0000-0000-0000BB0A0000}"/>
    <cellStyle name="Currency 5 4 2 2" xfId="3685" xr:uid="{00000000-0005-0000-0000-0000BC0A0000}"/>
    <cellStyle name="Currency 5 4 3" xfId="1659" xr:uid="{00000000-0005-0000-0000-0000BD0A0000}"/>
    <cellStyle name="Currency 5 4 3 2" xfId="3686" xr:uid="{00000000-0005-0000-0000-0000BE0A0000}"/>
    <cellStyle name="Currency 5 4 4" xfId="1660" xr:uid="{00000000-0005-0000-0000-0000BF0A0000}"/>
    <cellStyle name="Currency 5 4 4 2" xfId="3687" xr:uid="{00000000-0005-0000-0000-0000C00A0000}"/>
    <cellStyle name="Currency 5 4 5" xfId="3684" xr:uid="{00000000-0005-0000-0000-0000C10A0000}"/>
    <cellStyle name="Currency 5 5" xfId="1661" xr:uid="{00000000-0005-0000-0000-0000C20A0000}"/>
    <cellStyle name="Currency 5 5 2" xfId="1662" xr:uid="{00000000-0005-0000-0000-0000C30A0000}"/>
    <cellStyle name="Currency 5 5 2 2" xfId="3689" xr:uid="{00000000-0005-0000-0000-0000C40A0000}"/>
    <cellStyle name="Currency 5 5 3" xfId="1663" xr:uid="{00000000-0005-0000-0000-0000C50A0000}"/>
    <cellStyle name="Currency 5 5 3 2" xfId="3690" xr:uid="{00000000-0005-0000-0000-0000C60A0000}"/>
    <cellStyle name="Currency 5 5 4" xfId="1664" xr:uid="{00000000-0005-0000-0000-0000C70A0000}"/>
    <cellStyle name="Currency 5 5 4 2" xfId="3691" xr:uid="{00000000-0005-0000-0000-0000C80A0000}"/>
    <cellStyle name="Currency 5 5 5" xfId="3688" xr:uid="{00000000-0005-0000-0000-0000C90A0000}"/>
    <cellStyle name="Currency 5 6" xfId="1665" xr:uid="{00000000-0005-0000-0000-0000CA0A0000}"/>
    <cellStyle name="Currency 5 6 2" xfId="1666" xr:uid="{00000000-0005-0000-0000-0000CB0A0000}"/>
    <cellStyle name="Currency 5 6 2 2" xfId="3693" xr:uid="{00000000-0005-0000-0000-0000CC0A0000}"/>
    <cellStyle name="Currency 5 6 3" xfId="1667" xr:uid="{00000000-0005-0000-0000-0000CD0A0000}"/>
    <cellStyle name="Currency 5 6 3 2" xfId="3694" xr:uid="{00000000-0005-0000-0000-0000CE0A0000}"/>
    <cellStyle name="Currency 5 6 4" xfId="1668" xr:uid="{00000000-0005-0000-0000-0000CF0A0000}"/>
    <cellStyle name="Currency 5 6 4 2" xfId="3695" xr:uid="{00000000-0005-0000-0000-0000D00A0000}"/>
    <cellStyle name="Currency 5 6 5" xfId="3692" xr:uid="{00000000-0005-0000-0000-0000D10A0000}"/>
    <cellStyle name="Currency 5 7" xfId="1669" xr:uid="{00000000-0005-0000-0000-0000D20A0000}"/>
    <cellStyle name="Currency 5 7 2" xfId="1670" xr:uid="{00000000-0005-0000-0000-0000D30A0000}"/>
    <cellStyle name="Currency 5 7 2 2" xfId="3697" xr:uid="{00000000-0005-0000-0000-0000D40A0000}"/>
    <cellStyle name="Currency 5 7 3" xfId="1671" xr:uid="{00000000-0005-0000-0000-0000D50A0000}"/>
    <cellStyle name="Currency 5 7 3 2" xfId="3698" xr:uid="{00000000-0005-0000-0000-0000D60A0000}"/>
    <cellStyle name="Currency 5 7 4" xfId="1672" xr:uid="{00000000-0005-0000-0000-0000D70A0000}"/>
    <cellStyle name="Currency 5 7 4 2" xfId="3699" xr:uid="{00000000-0005-0000-0000-0000D80A0000}"/>
    <cellStyle name="Currency 5 7 5" xfId="3696" xr:uid="{00000000-0005-0000-0000-0000D90A0000}"/>
    <cellStyle name="Currency 5 8" xfId="1673" xr:uid="{00000000-0005-0000-0000-0000DA0A0000}"/>
    <cellStyle name="Currency 5 8 2" xfId="1674" xr:uid="{00000000-0005-0000-0000-0000DB0A0000}"/>
    <cellStyle name="Currency 5 8 2 2" xfId="3701" xr:uid="{00000000-0005-0000-0000-0000DC0A0000}"/>
    <cellStyle name="Currency 5 8 3" xfId="1675" xr:uid="{00000000-0005-0000-0000-0000DD0A0000}"/>
    <cellStyle name="Currency 5 8 3 2" xfId="3702" xr:uid="{00000000-0005-0000-0000-0000DE0A0000}"/>
    <cellStyle name="Currency 5 8 4" xfId="1676" xr:uid="{00000000-0005-0000-0000-0000DF0A0000}"/>
    <cellStyle name="Currency 5 8 4 2" xfId="3703" xr:uid="{00000000-0005-0000-0000-0000E00A0000}"/>
    <cellStyle name="Currency 5 8 5" xfId="3700" xr:uid="{00000000-0005-0000-0000-0000E10A0000}"/>
    <cellStyle name="Currency 5 9" xfId="1677" xr:uid="{00000000-0005-0000-0000-0000E20A0000}"/>
    <cellStyle name="Currency 5 9 2" xfId="1678" xr:uid="{00000000-0005-0000-0000-0000E30A0000}"/>
    <cellStyle name="Currency 5 9 2 2" xfId="3705" xr:uid="{00000000-0005-0000-0000-0000E40A0000}"/>
    <cellStyle name="Currency 5 9 3" xfId="1679" xr:uid="{00000000-0005-0000-0000-0000E50A0000}"/>
    <cellStyle name="Currency 5 9 3 2" xfId="3706" xr:uid="{00000000-0005-0000-0000-0000E60A0000}"/>
    <cellStyle name="Currency 5 9 4" xfId="1680" xr:uid="{00000000-0005-0000-0000-0000E70A0000}"/>
    <cellStyle name="Currency 5 9 4 2" xfId="3707" xr:uid="{00000000-0005-0000-0000-0000E80A0000}"/>
    <cellStyle name="Currency 5 9 5" xfId="3704" xr:uid="{00000000-0005-0000-0000-0000E90A0000}"/>
    <cellStyle name="Currency 6" xfId="1681" xr:uid="{00000000-0005-0000-0000-0000EA0A0000}"/>
    <cellStyle name="Currency 6 10" xfId="1682" xr:uid="{00000000-0005-0000-0000-0000EB0A0000}"/>
    <cellStyle name="Currency 6 10 2" xfId="1683" xr:uid="{00000000-0005-0000-0000-0000EC0A0000}"/>
    <cellStyle name="Currency 6 10 2 2" xfId="3710" xr:uid="{00000000-0005-0000-0000-0000ED0A0000}"/>
    <cellStyle name="Currency 6 10 3" xfId="1684" xr:uid="{00000000-0005-0000-0000-0000EE0A0000}"/>
    <cellStyle name="Currency 6 10 3 2" xfId="3711" xr:uid="{00000000-0005-0000-0000-0000EF0A0000}"/>
    <cellStyle name="Currency 6 10 4" xfId="1685" xr:uid="{00000000-0005-0000-0000-0000F00A0000}"/>
    <cellStyle name="Currency 6 10 4 2" xfId="3712" xr:uid="{00000000-0005-0000-0000-0000F10A0000}"/>
    <cellStyle name="Currency 6 10 5" xfId="3709" xr:uid="{00000000-0005-0000-0000-0000F20A0000}"/>
    <cellStyle name="Currency 6 11" xfId="1686" xr:uid="{00000000-0005-0000-0000-0000F30A0000}"/>
    <cellStyle name="Currency 6 11 2" xfId="1687" xr:uid="{00000000-0005-0000-0000-0000F40A0000}"/>
    <cellStyle name="Currency 6 11 2 2" xfId="3714" xr:uid="{00000000-0005-0000-0000-0000F50A0000}"/>
    <cellStyle name="Currency 6 11 3" xfId="1688" xr:uid="{00000000-0005-0000-0000-0000F60A0000}"/>
    <cellStyle name="Currency 6 11 3 2" xfId="3715" xr:uid="{00000000-0005-0000-0000-0000F70A0000}"/>
    <cellStyle name="Currency 6 11 4" xfId="1689" xr:uid="{00000000-0005-0000-0000-0000F80A0000}"/>
    <cellStyle name="Currency 6 11 4 2" xfId="3716" xr:uid="{00000000-0005-0000-0000-0000F90A0000}"/>
    <cellStyle name="Currency 6 11 5" xfId="3713" xr:uid="{00000000-0005-0000-0000-0000FA0A0000}"/>
    <cellStyle name="Currency 6 12" xfId="1690" xr:uid="{00000000-0005-0000-0000-0000FB0A0000}"/>
    <cellStyle name="Currency 6 12 2" xfId="1691" xr:uid="{00000000-0005-0000-0000-0000FC0A0000}"/>
    <cellStyle name="Currency 6 12 2 2" xfId="3718" xr:uid="{00000000-0005-0000-0000-0000FD0A0000}"/>
    <cellStyle name="Currency 6 12 3" xfId="1692" xr:uid="{00000000-0005-0000-0000-0000FE0A0000}"/>
    <cellStyle name="Currency 6 12 3 2" xfId="3719" xr:uid="{00000000-0005-0000-0000-0000FF0A0000}"/>
    <cellStyle name="Currency 6 12 4" xfId="1693" xr:uid="{00000000-0005-0000-0000-0000000B0000}"/>
    <cellStyle name="Currency 6 12 4 2" xfId="3720" xr:uid="{00000000-0005-0000-0000-0000010B0000}"/>
    <cellStyle name="Currency 6 12 5" xfId="3717" xr:uid="{00000000-0005-0000-0000-0000020B0000}"/>
    <cellStyle name="Currency 6 13" xfId="1694" xr:uid="{00000000-0005-0000-0000-0000030B0000}"/>
    <cellStyle name="Currency 6 13 2" xfId="1695" xr:uid="{00000000-0005-0000-0000-0000040B0000}"/>
    <cellStyle name="Currency 6 13 2 2" xfId="3722" xr:uid="{00000000-0005-0000-0000-0000050B0000}"/>
    <cellStyle name="Currency 6 13 3" xfId="1696" xr:uid="{00000000-0005-0000-0000-0000060B0000}"/>
    <cellStyle name="Currency 6 13 3 2" xfId="3723" xr:uid="{00000000-0005-0000-0000-0000070B0000}"/>
    <cellStyle name="Currency 6 13 4" xfId="1697" xr:uid="{00000000-0005-0000-0000-0000080B0000}"/>
    <cellStyle name="Currency 6 13 4 2" xfId="3724" xr:uid="{00000000-0005-0000-0000-0000090B0000}"/>
    <cellStyle name="Currency 6 13 5" xfId="3721" xr:uid="{00000000-0005-0000-0000-00000A0B0000}"/>
    <cellStyle name="Currency 6 14" xfId="1698" xr:uid="{00000000-0005-0000-0000-00000B0B0000}"/>
    <cellStyle name="Currency 6 14 2" xfId="1699" xr:uid="{00000000-0005-0000-0000-00000C0B0000}"/>
    <cellStyle name="Currency 6 14 2 2" xfId="3726" xr:uid="{00000000-0005-0000-0000-00000D0B0000}"/>
    <cellStyle name="Currency 6 14 3" xfId="1700" xr:uid="{00000000-0005-0000-0000-00000E0B0000}"/>
    <cellStyle name="Currency 6 14 3 2" xfId="3727" xr:uid="{00000000-0005-0000-0000-00000F0B0000}"/>
    <cellStyle name="Currency 6 14 4" xfId="1701" xr:uid="{00000000-0005-0000-0000-0000100B0000}"/>
    <cellStyle name="Currency 6 14 4 2" xfId="3728" xr:uid="{00000000-0005-0000-0000-0000110B0000}"/>
    <cellStyle name="Currency 6 14 5" xfId="3725" xr:uid="{00000000-0005-0000-0000-0000120B0000}"/>
    <cellStyle name="Currency 6 15" xfId="1702" xr:uid="{00000000-0005-0000-0000-0000130B0000}"/>
    <cellStyle name="Currency 6 15 2" xfId="1703" xr:uid="{00000000-0005-0000-0000-0000140B0000}"/>
    <cellStyle name="Currency 6 15 2 2" xfId="3730" xr:uid="{00000000-0005-0000-0000-0000150B0000}"/>
    <cellStyle name="Currency 6 15 3" xfId="1704" xr:uid="{00000000-0005-0000-0000-0000160B0000}"/>
    <cellStyle name="Currency 6 15 3 2" xfId="3731" xr:uid="{00000000-0005-0000-0000-0000170B0000}"/>
    <cellStyle name="Currency 6 15 4" xfId="1705" xr:uid="{00000000-0005-0000-0000-0000180B0000}"/>
    <cellStyle name="Currency 6 15 4 2" xfId="3732" xr:uid="{00000000-0005-0000-0000-0000190B0000}"/>
    <cellStyle name="Currency 6 15 5" xfId="3729" xr:uid="{00000000-0005-0000-0000-00001A0B0000}"/>
    <cellStyle name="Currency 6 16" xfId="1706" xr:uid="{00000000-0005-0000-0000-00001B0B0000}"/>
    <cellStyle name="Currency 6 16 2" xfId="1707" xr:uid="{00000000-0005-0000-0000-00001C0B0000}"/>
    <cellStyle name="Currency 6 16 2 2" xfId="3734" xr:uid="{00000000-0005-0000-0000-00001D0B0000}"/>
    <cellStyle name="Currency 6 16 3" xfId="1708" xr:uid="{00000000-0005-0000-0000-00001E0B0000}"/>
    <cellStyle name="Currency 6 16 3 2" xfId="3735" xr:uid="{00000000-0005-0000-0000-00001F0B0000}"/>
    <cellStyle name="Currency 6 16 4" xfId="1709" xr:uid="{00000000-0005-0000-0000-0000200B0000}"/>
    <cellStyle name="Currency 6 16 4 2" xfId="3736" xr:uid="{00000000-0005-0000-0000-0000210B0000}"/>
    <cellStyle name="Currency 6 16 5" xfId="3733" xr:uid="{00000000-0005-0000-0000-0000220B0000}"/>
    <cellStyle name="Currency 6 17" xfId="1710" xr:uid="{00000000-0005-0000-0000-0000230B0000}"/>
    <cellStyle name="Currency 6 17 2" xfId="1711" xr:uid="{00000000-0005-0000-0000-0000240B0000}"/>
    <cellStyle name="Currency 6 17 2 2" xfId="3738" xr:uid="{00000000-0005-0000-0000-0000250B0000}"/>
    <cellStyle name="Currency 6 17 3" xfId="1712" xr:uid="{00000000-0005-0000-0000-0000260B0000}"/>
    <cellStyle name="Currency 6 17 3 2" xfId="3739" xr:uid="{00000000-0005-0000-0000-0000270B0000}"/>
    <cellStyle name="Currency 6 17 4" xfId="1713" xr:uid="{00000000-0005-0000-0000-0000280B0000}"/>
    <cellStyle name="Currency 6 17 4 2" xfId="3740" xr:uid="{00000000-0005-0000-0000-0000290B0000}"/>
    <cellStyle name="Currency 6 17 5" xfId="3737" xr:uid="{00000000-0005-0000-0000-00002A0B0000}"/>
    <cellStyle name="Currency 6 18" xfId="1714" xr:uid="{00000000-0005-0000-0000-00002B0B0000}"/>
    <cellStyle name="Currency 6 18 2" xfId="1715" xr:uid="{00000000-0005-0000-0000-00002C0B0000}"/>
    <cellStyle name="Currency 6 18 2 2" xfId="3742" xr:uid="{00000000-0005-0000-0000-00002D0B0000}"/>
    <cellStyle name="Currency 6 18 3" xfId="1716" xr:uid="{00000000-0005-0000-0000-00002E0B0000}"/>
    <cellStyle name="Currency 6 18 3 2" xfId="3743" xr:uid="{00000000-0005-0000-0000-00002F0B0000}"/>
    <cellStyle name="Currency 6 18 4" xfId="1717" xr:uid="{00000000-0005-0000-0000-0000300B0000}"/>
    <cellStyle name="Currency 6 18 4 2" xfId="3744" xr:uid="{00000000-0005-0000-0000-0000310B0000}"/>
    <cellStyle name="Currency 6 18 5" xfId="3741" xr:uid="{00000000-0005-0000-0000-0000320B0000}"/>
    <cellStyle name="Currency 6 19" xfId="1718" xr:uid="{00000000-0005-0000-0000-0000330B0000}"/>
    <cellStyle name="Currency 6 19 2" xfId="1719" xr:uid="{00000000-0005-0000-0000-0000340B0000}"/>
    <cellStyle name="Currency 6 19 2 2" xfId="3746" xr:uid="{00000000-0005-0000-0000-0000350B0000}"/>
    <cellStyle name="Currency 6 19 3" xfId="1720" xr:uid="{00000000-0005-0000-0000-0000360B0000}"/>
    <cellStyle name="Currency 6 19 3 2" xfId="3747" xr:uid="{00000000-0005-0000-0000-0000370B0000}"/>
    <cellStyle name="Currency 6 19 4" xfId="1721" xr:uid="{00000000-0005-0000-0000-0000380B0000}"/>
    <cellStyle name="Currency 6 19 4 2" xfId="3748" xr:uid="{00000000-0005-0000-0000-0000390B0000}"/>
    <cellStyle name="Currency 6 19 5" xfId="3745" xr:uid="{00000000-0005-0000-0000-00003A0B0000}"/>
    <cellStyle name="Currency 6 2" xfId="1722" xr:uid="{00000000-0005-0000-0000-00003B0B0000}"/>
    <cellStyle name="Currency 6 2 2" xfId="1723" xr:uid="{00000000-0005-0000-0000-00003C0B0000}"/>
    <cellStyle name="Currency 6 2 2 2" xfId="3750" xr:uid="{00000000-0005-0000-0000-00003D0B0000}"/>
    <cellStyle name="Currency 6 2 3" xfId="1724" xr:uid="{00000000-0005-0000-0000-00003E0B0000}"/>
    <cellStyle name="Currency 6 2 3 2" xfId="3751" xr:uid="{00000000-0005-0000-0000-00003F0B0000}"/>
    <cellStyle name="Currency 6 2 4" xfId="1725" xr:uid="{00000000-0005-0000-0000-0000400B0000}"/>
    <cellStyle name="Currency 6 2 4 2" xfId="3752" xr:uid="{00000000-0005-0000-0000-0000410B0000}"/>
    <cellStyle name="Currency 6 2 5" xfId="3749" xr:uid="{00000000-0005-0000-0000-0000420B0000}"/>
    <cellStyle name="Currency 6 20" xfId="1726" xr:uid="{00000000-0005-0000-0000-0000430B0000}"/>
    <cellStyle name="Currency 6 20 2" xfId="1727" xr:uid="{00000000-0005-0000-0000-0000440B0000}"/>
    <cellStyle name="Currency 6 20 2 2" xfId="3754" xr:uid="{00000000-0005-0000-0000-0000450B0000}"/>
    <cellStyle name="Currency 6 20 3" xfId="1728" xr:uid="{00000000-0005-0000-0000-0000460B0000}"/>
    <cellStyle name="Currency 6 20 3 2" xfId="3755" xr:uid="{00000000-0005-0000-0000-0000470B0000}"/>
    <cellStyle name="Currency 6 20 4" xfId="1729" xr:uid="{00000000-0005-0000-0000-0000480B0000}"/>
    <cellStyle name="Currency 6 20 4 2" xfId="3756" xr:uid="{00000000-0005-0000-0000-0000490B0000}"/>
    <cellStyle name="Currency 6 20 5" xfId="3753" xr:uid="{00000000-0005-0000-0000-00004A0B0000}"/>
    <cellStyle name="Currency 6 21" xfId="1730" xr:uid="{00000000-0005-0000-0000-00004B0B0000}"/>
    <cellStyle name="Currency 6 21 2" xfId="1731" xr:uid="{00000000-0005-0000-0000-00004C0B0000}"/>
    <cellStyle name="Currency 6 21 2 2" xfId="3758" xr:uid="{00000000-0005-0000-0000-00004D0B0000}"/>
    <cellStyle name="Currency 6 21 3" xfId="1732" xr:uid="{00000000-0005-0000-0000-00004E0B0000}"/>
    <cellStyle name="Currency 6 21 3 2" xfId="3759" xr:uid="{00000000-0005-0000-0000-00004F0B0000}"/>
    <cellStyle name="Currency 6 21 4" xfId="1733" xr:uid="{00000000-0005-0000-0000-0000500B0000}"/>
    <cellStyle name="Currency 6 21 4 2" xfId="3760" xr:uid="{00000000-0005-0000-0000-0000510B0000}"/>
    <cellStyle name="Currency 6 21 5" xfId="3757" xr:uid="{00000000-0005-0000-0000-0000520B0000}"/>
    <cellStyle name="Currency 6 22" xfId="1734" xr:uid="{00000000-0005-0000-0000-0000530B0000}"/>
    <cellStyle name="Currency 6 22 2" xfId="3761" xr:uid="{00000000-0005-0000-0000-0000540B0000}"/>
    <cellStyle name="Currency 6 23" xfId="1735" xr:uid="{00000000-0005-0000-0000-0000550B0000}"/>
    <cellStyle name="Currency 6 23 2" xfId="3762" xr:uid="{00000000-0005-0000-0000-0000560B0000}"/>
    <cellStyle name="Currency 6 24" xfId="1736" xr:uid="{00000000-0005-0000-0000-0000570B0000}"/>
    <cellStyle name="Currency 6 24 2" xfId="3763" xr:uid="{00000000-0005-0000-0000-0000580B0000}"/>
    <cellStyle name="Currency 6 25" xfId="3708" xr:uid="{00000000-0005-0000-0000-0000590B0000}"/>
    <cellStyle name="Currency 6 3" xfId="1737" xr:uid="{00000000-0005-0000-0000-00005A0B0000}"/>
    <cellStyle name="Currency 6 3 2" xfId="1738" xr:uid="{00000000-0005-0000-0000-00005B0B0000}"/>
    <cellStyle name="Currency 6 3 2 2" xfId="3765" xr:uid="{00000000-0005-0000-0000-00005C0B0000}"/>
    <cellStyle name="Currency 6 3 3" xfId="1739" xr:uid="{00000000-0005-0000-0000-00005D0B0000}"/>
    <cellStyle name="Currency 6 3 3 2" xfId="3766" xr:uid="{00000000-0005-0000-0000-00005E0B0000}"/>
    <cellStyle name="Currency 6 3 4" xfId="1740" xr:uid="{00000000-0005-0000-0000-00005F0B0000}"/>
    <cellStyle name="Currency 6 3 4 2" xfId="3767" xr:uid="{00000000-0005-0000-0000-0000600B0000}"/>
    <cellStyle name="Currency 6 3 5" xfId="3764" xr:uid="{00000000-0005-0000-0000-0000610B0000}"/>
    <cellStyle name="Currency 6 4" xfId="1741" xr:uid="{00000000-0005-0000-0000-0000620B0000}"/>
    <cellStyle name="Currency 6 4 2" xfId="1742" xr:uid="{00000000-0005-0000-0000-0000630B0000}"/>
    <cellStyle name="Currency 6 4 2 2" xfId="3769" xr:uid="{00000000-0005-0000-0000-0000640B0000}"/>
    <cellStyle name="Currency 6 4 3" xfId="1743" xr:uid="{00000000-0005-0000-0000-0000650B0000}"/>
    <cellStyle name="Currency 6 4 3 2" xfId="3770" xr:uid="{00000000-0005-0000-0000-0000660B0000}"/>
    <cellStyle name="Currency 6 4 4" xfId="1744" xr:uid="{00000000-0005-0000-0000-0000670B0000}"/>
    <cellStyle name="Currency 6 4 4 2" xfId="3771" xr:uid="{00000000-0005-0000-0000-0000680B0000}"/>
    <cellStyle name="Currency 6 4 5" xfId="3768" xr:uid="{00000000-0005-0000-0000-0000690B0000}"/>
    <cellStyle name="Currency 6 5" xfId="1745" xr:uid="{00000000-0005-0000-0000-00006A0B0000}"/>
    <cellStyle name="Currency 6 5 2" xfId="1746" xr:uid="{00000000-0005-0000-0000-00006B0B0000}"/>
    <cellStyle name="Currency 6 5 2 2" xfId="3773" xr:uid="{00000000-0005-0000-0000-00006C0B0000}"/>
    <cellStyle name="Currency 6 5 3" xfId="1747" xr:uid="{00000000-0005-0000-0000-00006D0B0000}"/>
    <cellStyle name="Currency 6 5 3 2" xfId="3774" xr:uid="{00000000-0005-0000-0000-00006E0B0000}"/>
    <cellStyle name="Currency 6 5 4" xfId="1748" xr:uid="{00000000-0005-0000-0000-00006F0B0000}"/>
    <cellStyle name="Currency 6 5 4 2" xfId="3775" xr:uid="{00000000-0005-0000-0000-0000700B0000}"/>
    <cellStyle name="Currency 6 5 5" xfId="3772" xr:uid="{00000000-0005-0000-0000-0000710B0000}"/>
    <cellStyle name="Currency 6 6" xfId="1749" xr:uid="{00000000-0005-0000-0000-0000720B0000}"/>
    <cellStyle name="Currency 6 6 2" xfId="1750" xr:uid="{00000000-0005-0000-0000-0000730B0000}"/>
    <cellStyle name="Currency 6 6 2 2" xfId="3777" xr:uid="{00000000-0005-0000-0000-0000740B0000}"/>
    <cellStyle name="Currency 6 6 3" xfId="1751" xr:uid="{00000000-0005-0000-0000-0000750B0000}"/>
    <cellStyle name="Currency 6 6 3 2" xfId="3778" xr:uid="{00000000-0005-0000-0000-0000760B0000}"/>
    <cellStyle name="Currency 6 6 4" xfId="1752" xr:uid="{00000000-0005-0000-0000-0000770B0000}"/>
    <cellStyle name="Currency 6 6 4 2" xfId="3779" xr:uid="{00000000-0005-0000-0000-0000780B0000}"/>
    <cellStyle name="Currency 6 6 5" xfId="3776" xr:uid="{00000000-0005-0000-0000-0000790B0000}"/>
    <cellStyle name="Currency 6 7" xfId="1753" xr:uid="{00000000-0005-0000-0000-00007A0B0000}"/>
    <cellStyle name="Currency 6 7 2" xfId="1754" xr:uid="{00000000-0005-0000-0000-00007B0B0000}"/>
    <cellStyle name="Currency 6 7 2 2" xfId="3781" xr:uid="{00000000-0005-0000-0000-00007C0B0000}"/>
    <cellStyle name="Currency 6 7 3" xfId="1755" xr:uid="{00000000-0005-0000-0000-00007D0B0000}"/>
    <cellStyle name="Currency 6 7 3 2" xfId="3782" xr:uid="{00000000-0005-0000-0000-00007E0B0000}"/>
    <cellStyle name="Currency 6 7 4" xfId="1756" xr:uid="{00000000-0005-0000-0000-00007F0B0000}"/>
    <cellStyle name="Currency 6 7 4 2" xfId="3783" xr:uid="{00000000-0005-0000-0000-0000800B0000}"/>
    <cellStyle name="Currency 6 7 5" xfId="3780" xr:uid="{00000000-0005-0000-0000-0000810B0000}"/>
    <cellStyle name="Currency 6 8" xfId="1757" xr:uid="{00000000-0005-0000-0000-0000820B0000}"/>
    <cellStyle name="Currency 6 8 2" xfId="1758" xr:uid="{00000000-0005-0000-0000-0000830B0000}"/>
    <cellStyle name="Currency 6 8 2 2" xfId="3785" xr:uid="{00000000-0005-0000-0000-0000840B0000}"/>
    <cellStyle name="Currency 6 8 3" xfId="1759" xr:uid="{00000000-0005-0000-0000-0000850B0000}"/>
    <cellStyle name="Currency 6 8 3 2" xfId="3786" xr:uid="{00000000-0005-0000-0000-0000860B0000}"/>
    <cellStyle name="Currency 6 8 4" xfId="1760" xr:uid="{00000000-0005-0000-0000-0000870B0000}"/>
    <cellStyle name="Currency 6 8 4 2" xfId="3787" xr:uid="{00000000-0005-0000-0000-0000880B0000}"/>
    <cellStyle name="Currency 6 8 5" xfId="3784" xr:uid="{00000000-0005-0000-0000-0000890B0000}"/>
    <cellStyle name="Currency 6 9" xfId="1761" xr:uid="{00000000-0005-0000-0000-00008A0B0000}"/>
    <cellStyle name="Currency 6 9 2" xfId="1762" xr:uid="{00000000-0005-0000-0000-00008B0B0000}"/>
    <cellStyle name="Currency 6 9 2 2" xfId="3789" xr:uid="{00000000-0005-0000-0000-00008C0B0000}"/>
    <cellStyle name="Currency 6 9 3" xfId="1763" xr:uid="{00000000-0005-0000-0000-00008D0B0000}"/>
    <cellStyle name="Currency 6 9 3 2" xfId="3790" xr:uid="{00000000-0005-0000-0000-00008E0B0000}"/>
    <cellStyle name="Currency 6 9 4" xfId="1764" xr:uid="{00000000-0005-0000-0000-00008F0B0000}"/>
    <cellStyle name="Currency 6 9 4 2" xfId="3791" xr:uid="{00000000-0005-0000-0000-0000900B0000}"/>
    <cellStyle name="Currency 6 9 5" xfId="3788" xr:uid="{00000000-0005-0000-0000-0000910B0000}"/>
    <cellStyle name="Currency 7" xfId="1765" xr:uid="{00000000-0005-0000-0000-0000920B0000}"/>
    <cellStyle name="Currency 7 10" xfId="1766" xr:uid="{00000000-0005-0000-0000-0000930B0000}"/>
    <cellStyle name="Currency 7 10 2" xfId="1767" xr:uid="{00000000-0005-0000-0000-0000940B0000}"/>
    <cellStyle name="Currency 7 10 2 2" xfId="3794" xr:uid="{00000000-0005-0000-0000-0000950B0000}"/>
    <cellStyle name="Currency 7 10 3" xfId="1768" xr:uid="{00000000-0005-0000-0000-0000960B0000}"/>
    <cellStyle name="Currency 7 10 3 2" xfId="3795" xr:uid="{00000000-0005-0000-0000-0000970B0000}"/>
    <cellStyle name="Currency 7 10 4" xfId="1769" xr:uid="{00000000-0005-0000-0000-0000980B0000}"/>
    <cellStyle name="Currency 7 10 4 2" xfId="3796" xr:uid="{00000000-0005-0000-0000-0000990B0000}"/>
    <cellStyle name="Currency 7 10 5" xfId="3793" xr:uid="{00000000-0005-0000-0000-00009A0B0000}"/>
    <cellStyle name="Currency 7 11" xfId="1770" xr:uid="{00000000-0005-0000-0000-00009B0B0000}"/>
    <cellStyle name="Currency 7 11 2" xfId="1771" xr:uid="{00000000-0005-0000-0000-00009C0B0000}"/>
    <cellStyle name="Currency 7 11 2 2" xfId="3798" xr:uid="{00000000-0005-0000-0000-00009D0B0000}"/>
    <cellStyle name="Currency 7 11 3" xfId="1772" xr:uid="{00000000-0005-0000-0000-00009E0B0000}"/>
    <cellStyle name="Currency 7 11 3 2" xfId="3799" xr:uid="{00000000-0005-0000-0000-00009F0B0000}"/>
    <cellStyle name="Currency 7 11 4" xfId="1773" xr:uid="{00000000-0005-0000-0000-0000A00B0000}"/>
    <cellStyle name="Currency 7 11 4 2" xfId="3800" xr:uid="{00000000-0005-0000-0000-0000A10B0000}"/>
    <cellStyle name="Currency 7 11 5" xfId="3797" xr:uid="{00000000-0005-0000-0000-0000A20B0000}"/>
    <cellStyle name="Currency 7 12" xfId="1774" xr:uid="{00000000-0005-0000-0000-0000A30B0000}"/>
    <cellStyle name="Currency 7 12 2" xfId="1775" xr:uid="{00000000-0005-0000-0000-0000A40B0000}"/>
    <cellStyle name="Currency 7 12 2 2" xfId="3802" xr:uid="{00000000-0005-0000-0000-0000A50B0000}"/>
    <cellStyle name="Currency 7 12 3" xfId="1776" xr:uid="{00000000-0005-0000-0000-0000A60B0000}"/>
    <cellStyle name="Currency 7 12 3 2" xfId="3803" xr:uid="{00000000-0005-0000-0000-0000A70B0000}"/>
    <cellStyle name="Currency 7 12 4" xfId="1777" xr:uid="{00000000-0005-0000-0000-0000A80B0000}"/>
    <cellStyle name="Currency 7 12 4 2" xfId="3804" xr:uid="{00000000-0005-0000-0000-0000A90B0000}"/>
    <cellStyle name="Currency 7 12 5" xfId="3801" xr:uid="{00000000-0005-0000-0000-0000AA0B0000}"/>
    <cellStyle name="Currency 7 13" xfId="1778" xr:uid="{00000000-0005-0000-0000-0000AB0B0000}"/>
    <cellStyle name="Currency 7 13 2" xfId="1779" xr:uid="{00000000-0005-0000-0000-0000AC0B0000}"/>
    <cellStyle name="Currency 7 13 2 2" xfId="3806" xr:uid="{00000000-0005-0000-0000-0000AD0B0000}"/>
    <cellStyle name="Currency 7 13 3" xfId="1780" xr:uid="{00000000-0005-0000-0000-0000AE0B0000}"/>
    <cellStyle name="Currency 7 13 3 2" xfId="3807" xr:uid="{00000000-0005-0000-0000-0000AF0B0000}"/>
    <cellStyle name="Currency 7 13 4" xfId="1781" xr:uid="{00000000-0005-0000-0000-0000B00B0000}"/>
    <cellStyle name="Currency 7 13 4 2" xfId="3808" xr:uid="{00000000-0005-0000-0000-0000B10B0000}"/>
    <cellStyle name="Currency 7 13 5" xfId="3805" xr:uid="{00000000-0005-0000-0000-0000B20B0000}"/>
    <cellStyle name="Currency 7 14" xfId="1782" xr:uid="{00000000-0005-0000-0000-0000B30B0000}"/>
    <cellStyle name="Currency 7 14 2" xfId="1783" xr:uid="{00000000-0005-0000-0000-0000B40B0000}"/>
    <cellStyle name="Currency 7 14 2 2" xfId="3810" xr:uid="{00000000-0005-0000-0000-0000B50B0000}"/>
    <cellStyle name="Currency 7 14 3" xfId="1784" xr:uid="{00000000-0005-0000-0000-0000B60B0000}"/>
    <cellStyle name="Currency 7 14 3 2" xfId="3811" xr:uid="{00000000-0005-0000-0000-0000B70B0000}"/>
    <cellStyle name="Currency 7 14 4" xfId="1785" xr:uid="{00000000-0005-0000-0000-0000B80B0000}"/>
    <cellStyle name="Currency 7 14 4 2" xfId="3812" xr:uid="{00000000-0005-0000-0000-0000B90B0000}"/>
    <cellStyle name="Currency 7 14 5" xfId="3809" xr:uid="{00000000-0005-0000-0000-0000BA0B0000}"/>
    <cellStyle name="Currency 7 15" xfId="1786" xr:uid="{00000000-0005-0000-0000-0000BB0B0000}"/>
    <cellStyle name="Currency 7 15 2" xfId="1787" xr:uid="{00000000-0005-0000-0000-0000BC0B0000}"/>
    <cellStyle name="Currency 7 15 2 2" xfId="3814" xr:uid="{00000000-0005-0000-0000-0000BD0B0000}"/>
    <cellStyle name="Currency 7 15 3" xfId="1788" xr:uid="{00000000-0005-0000-0000-0000BE0B0000}"/>
    <cellStyle name="Currency 7 15 3 2" xfId="3815" xr:uid="{00000000-0005-0000-0000-0000BF0B0000}"/>
    <cellStyle name="Currency 7 15 4" xfId="1789" xr:uid="{00000000-0005-0000-0000-0000C00B0000}"/>
    <cellStyle name="Currency 7 15 4 2" xfId="3816" xr:uid="{00000000-0005-0000-0000-0000C10B0000}"/>
    <cellStyle name="Currency 7 15 5" xfId="3813" xr:uid="{00000000-0005-0000-0000-0000C20B0000}"/>
    <cellStyle name="Currency 7 16" xfId="1790" xr:uid="{00000000-0005-0000-0000-0000C30B0000}"/>
    <cellStyle name="Currency 7 16 2" xfId="1791" xr:uid="{00000000-0005-0000-0000-0000C40B0000}"/>
    <cellStyle name="Currency 7 16 2 2" xfId="3818" xr:uid="{00000000-0005-0000-0000-0000C50B0000}"/>
    <cellStyle name="Currency 7 16 3" xfId="1792" xr:uid="{00000000-0005-0000-0000-0000C60B0000}"/>
    <cellStyle name="Currency 7 16 3 2" xfId="3819" xr:uid="{00000000-0005-0000-0000-0000C70B0000}"/>
    <cellStyle name="Currency 7 16 4" xfId="1793" xr:uid="{00000000-0005-0000-0000-0000C80B0000}"/>
    <cellStyle name="Currency 7 16 4 2" xfId="3820" xr:uid="{00000000-0005-0000-0000-0000C90B0000}"/>
    <cellStyle name="Currency 7 16 5" xfId="3817" xr:uid="{00000000-0005-0000-0000-0000CA0B0000}"/>
    <cellStyle name="Currency 7 17" xfId="1794" xr:uid="{00000000-0005-0000-0000-0000CB0B0000}"/>
    <cellStyle name="Currency 7 17 2" xfId="1795" xr:uid="{00000000-0005-0000-0000-0000CC0B0000}"/>
    <cellStyle name="Currency 7 17 2 2" xfId="3822" xr:uid="{00000000-0005-0000-0000-0000CD0B0000}"/>
    <cellStyle name="Currency 7 17 3" xfId="1796" xr:uid="{00000000-0005-0000-0000-0000CE0B0000}"/>
    <cellStyle name="Currency 7 17 3 2" xfId="3823" xr:uid="{00000000-0005-0000-0000-0000CF0B0000}"/>
    <cellStyle name="Currency 7 17 4" xfId="1797" xr:uid="{00000000-0005-0000-0000-0000D00B0000}"/>
    <cellStyle name="Currency 7 17 4 2" xfId="3824" xr:uid="{00000000-0005-0000-0000-0000D10B0000}"/>
    <cellStyle name="Currency 7 17 5" xfId="3821" xr:uid="{00000000-0005-0000-0000-0000D20B0000}"/>
    <cellStyle name="Currency 7 18" xfId="1798" xr:uid="{00000000-0005-0000-0000-0000D30B0000}"/>
    <cellStyle name="Currency 7 18 2" xfId="1799" xr:uid="{00000000-0005-0000-0000-0000D40B0000}"/>
    <cellStyle name="Currency 7 18 2 2" xfId="3826" xr:uid="{00000000-0005-0000-0000-0000D50B0000}"/>
    <cellStyle name="Currency 7 18 3" xfId="1800" xr:uid="{00000000-0005-0000-0000-0000D60B0000}"/>
    <cellStyle name="Currency 7 18 3 2" xfId="3827" xr:uid="{00000000-0005-0000-0000-0000D70B0000}"/>
    <cellStyle name="Currency 7 18 4" xfId="1801" xr:uid="{00000000-0005-0000-0000-0000D80B0000}"/>
    <cellStyle name="Currency 7 18 4 2" xfId="3828" xr:uid="{00000000-0005-0000-0000-0000D90B0000}"/>
    <cellStyle name="Currency 7 18 5" xfId="3825" xr:uid="{00000000-0005-0000-0000-0000DA0B0000}"/>
    <cellStyle name="Currency 7 19" xfId="1802" xr:uid="{00000000-0005-0000-0000-0000DB0B0000}"/>
    <cellStyle name="Currency 7 19 2" xfId="1803" xr:uid="{00000000-0005-0000-0000-0000DC0B0000}"/>
    <cellStyle name="Currency 7 19 2 2" xfId="3830" xr:uid="{00000000-0005-0000-0000-0000DD0B0000}"/>
    <cellStyle name="Currency 7 19 3" xfId="1804" xr:uid="{00000000-0005-0000-0000-0000DE0B0000}"/>
    <cellStyle name="Currency 7 19 3 2" xfId="3831" xr:uid="{00000000-0005-0000-0000-0000DF0B0000}"/>
    <cellStyle name="Currency 7 19 4" xfId="1805" xr:uid="{00000000-0005-0000-0000-0000E00B0000}"/>
    <cellStyle name="Currency 7 19 4 2" xfId="3832" xr:uid="{00000000-0005-0000-0000-0000E10B0000}"/>
    <cellStyle name="Currency 7 19 5" xfId="3829" xr:uid="{00000000-0005-0000-0000-0000E20B0000}"/>
    <cellStyle name="Currency 7 2" xfId="1806" xr:uid="{00000000-0005-0000-0000-0000E30B0000}"/>
    <cellStyle name="Currency 7 2 2" xfId="1807" xr:uid="{00000000-0005-0000-0000-0000E40B0000}"/>
    <cellStyle name="Currency 7 2 2 2" xfId="3834" xr:uid="{00000000-0005-0000-0000-0000E50B0000}"/>
    <cellStyle name="Currency 7 2 3" xfId="1808" xr:uid="{00000000-0005-0000-0000-0000E60B0000}"/>
    <cellStyle name="Currency 7 2 3 2" xfId="3835" xr:uid="{00000000-0005-0000-0000-0000E70B0000}"/>
    <cellStyle name="Currency 7 2 4" xfId="1809" xr:uid="{00000000-0005-0000-0000-0000E80B0000}"/>
    <cellStyle name="Currency 7 2 4 2" xfId="3836" xr:uid="{00000000-0005-0000-0000-0000E90B0000}"/>
    <cellStyle name="Currency 7 2 5" xfId="3833" xr:uid="{00000000-0005-0000-0000-0000EA0B0000}"/>
    <cellStyle name="Currency 7 20" xfId="1810" xr:uid="{00000000-0005-0000-0000-0000EB0B0000}"/>
    <cellStyle name="Currency 7 20 2" xfId="1811" xr:uid="{00000000-0005-0000-0000-0000EC0B0000}"/>
    <cellStyle name="Currency 7 20 2 2" xfId="3838" xr:uid="{00000000-0005-0000-0000-0000ED0B0000}"/>
    <cellStyle name="Currency 7 20 3" xfId="1812" xr:uid="{00000000-0005-0000-0000-0000EE0B0000}"/>
    <cellStyle name="Currency 7 20 3 2" xfId="3839" xr:uid="{00000000-0005-0000-0000-0000EF0B0000}"/>
    <cellStyle name="Currency 7 20 4" xfId="1813" xr:uid="{00000000-0005-0000-0000-0000F00B0000}"/>
    <cellStyle name="Currency 7 20 4 2" xfId="3840" xr:uid="{00000000-0005-0000-0000-0000F10B0000}"/>
    <cellStyle name="Currency 7 20 5" xfId="3837" xr:uid="{00000000-0005-0000-0000-0000F20B0000}"/>
    <cellStyle name="Currency 7 21" xfId="1814" xr:uid="{00000000-0005-0000-0000-0000F30B0000}"/>
    <cellStyle name="Currency 7 21 2" xfId="1815" xr:uid="{00000000-0005-0000-0000-0000F40B0000}"/>
    <cellStyle name="Currency 7 21 2 2" xfId="3842" xr:uid="{00000000-0005-0000-0000-0000F50B0000}"/>
    <cellStyle name="Currency 7 21 3" xfId="1816" xr:uid="{00000000-0005-0000-0000-0000F60B0000}"/>
    <cellStyle name="Currency 7 21 3 2" xfId="3843" xr:uid="{00000000-0005-0000-0000-0000F70B0000}"/>
    <cellStyle name="Currency 7 21 4" xfId="1817" xr:uid="{00000000-0005-0000-0000-0000F80B0000}"/>
    <cellStyle name="Currency 7 21 4 2" xfId="3844" xr:uid="{00000000-0005-0000-0000-0000F90B0000}"/>
    <cellStyle name="Currency 7 21 5" xfId="3841" xr:uid="{00000000-0005-0000-0000-0000FA0B0000}"/>
    <cellStyle name="Currency 7 22" xfId="1818" xr:uid="{00000000-0005-0000-0000-0000FB0B0000}"/>
    <cellStyle name="Currency 7 22 2" xfId="3845" xr:uid="{00000000-0005-0000-0000-0000FC0B0000}"/>
    <cellStyle name="Currency 7 23" xfId="1819" xr:uid="{00000000-0005-0000-0000-0000FD0B0000}"/>
    <cellStyle name="Currency 7 23 2" xfId="3846" xr:uid="{00000000-0005-0000-0000-0000FE0B0000}"/>
    <cellStyle name="Currency 7 24" xfId="1820" xr:uid="{00000000-0005-0000-0000-0000FF0B0000}"/>
    <cellStyle name="Currency 7 24 2" xfId="3847" xr:uid="{00000000-0005-0000-0000-0000000C0000}"/>
    <cellStyle name="Currency 7 25" xfId="3792" xr:uid="{00000000-0005-0000-0000-0000010C0000}"/>
    <cellStyle name="Currency 7 3" xfId="1821" xr:uid="{00000000-0005-0000-0000-0000020C0000}"/>
    <cellStyle name="Currency 7 3 2" xfId="1822" xr:uid="{00000000-0005-0000-0000-0000030C0000}"/>
    <cellStyle name="Currency 7 3 2 2" xfId="3849" xr:uid="{00000000-0005-0000-0000-0000040C0000}"/>
    <cellStyle name="Currency 7 3 3" xfId="1823" xr:uid="{00000000-0005-0000-0000-0000050C0000}"/>
    <cellStyle name="Currency 7 3 3 2" xfId="3850" xr:uid="{00000000-0005-0000-0000-0000060C0000}"/>
    <cellStyle name="Currency 7 3 4" xfId="1824" xr:uid="{00000000-0005-0000-0000-0000070C0000}"/>
    <cellStyle name="Currency 7 3 4 2" xfId="3851" xr:uid="{00000000-0005-0000-0000-0000080C0000}"/>
    <cellStyle name="Currency 7 3 5" xfId="3848" xr:uid="{00000000-0005-0000-0000-0000090C0000}"/>
    <cellStyle name="Currency 7 4" xfId="1825" xr:uid="{00000000-0005-0000-0000-00000A0C0000}"/>
    <cellStyle name="Currency 7 4 2" xfId="1826" xr:uid="{00000000-0005-0000-0000-00000B0C0000}"/>
    <cellStyle name="Currency 7 4 2 2" xfId="3853" xr:uid="{00000000-0005-0000-0000-00000C0C0000}"/>
    <cellStyle name="Currency 7 4 3" xfId="1827" xr:uid="{00000000-0005-0000-0000-00000D0C0000}"/>
    <cellStyle name="Currency 7 4 3 2" xfId="3854" xr:uid="{00000000-0005-0000-0000-00000E0C0000}"/>
    <cellStyle name="Currency 7 4 4" xfId="1828" xr:uid="{00000000-0005-0000-0000-00000F0C0000}"/>
    <cellStyle name="Currency 7 4 4 2" xfId="3855" xr:uid="{00000000-0005-0000-0000-0000100C0000}"/>
    <cellStyle name="Currency 7 4 5" xfId="3852" xr:uid="{00000000-0005-0000-0000-0000110C0000}"/>
    <cellStyle name="Currency 7 5" xfId="1829" xr:uid="{00000000-0005-0000-0000-0000120C0000}"/>
    <cellStyle name="Currency 7 5 2" xfId="1830" xr:uid="{00000000-0005-0000-0000-0000130C0000}"/>
    <cellStyle name="Currency 7 5 2 2" xfId="3857" xr:uid="{00000000-0005-0000-0000-0000140C0000}"/>
    <cellStyle name="Currency 7 5 3" xfId="1831" xr:uid="{00000000-0005-0000-0000-0000150C0000}"/>
    <cellStyle name="Currency 7 5 3 2" xfId="3858" xr:uid="{00000000-0005-0000-0000-0000160C0000}"/>
    <cellStyle name="Currency 7 5 4" xfId="1832" xr:uid="{00000000-0005-0000-0000-0000170C0000}"/>
    <cellStyle name="Currency 7 5 4 2" xfId="3859" xr:uid="{00000000-0005-0000-0000-0000180C0000}"/>
    <cellStyle name="Currency 7 5 5" xfId="3856" xr:uid="{00000000-0005-0000-0000-0000190C0000}"/>
    <cellStyle name="Currency 7 6" xfId="1833" xr:uid="{00000000-0005-0000-0000-00001A0C0000}"/>
    <cellStyle name="Currency 7 6 2" xfId="1834" xr:uid="{00000000-0005-0000-0000-00001B0C0000}"/>
    <cellStyle name="Currency 7 6 2 2" xfId="3861" xr:uid="{00000000-0005-0000-0000-00001C0C0000}"/>
    <cellStyle name="Currency 7 6 3" xfId="1835" xr:uid="{00000000-0005-0000-0000-00001D0C0000}"/>
    <cellStyle name="Currency 7 6 3 2" xfId="3862" xr:uid="{00000000-0005-0000-0000-00001E0C0000}"/>
    <cellStyle name="Currency 7 6 4" xfId="1836" xr:uid="{00000000-0005-0000-0000-00001F0C0000}"/>
    <cellStyle name="Currency 7 6 4 2" xfId="3863" xr:uid="{00000000-0005-0000-0000-0000200C0000}"/>
    <cellStyle name="Currency 7 6 5" xfId="3860" xr:uid="{00000000-0005-0000-0000-0000210C0000}"/>
    <cellStyle name="Currency 7 7" xfId="1837" xr:uid="{00000000-0005-0000-0000-0000220C0000}"/>
    <cellStyle name="Currency 7 7 2" xfId="1838" xr:uid="{00000000-0005-0000-0000-0000230C0000}"/>
    <cellStyle name="Currency 7 7 2 2" xfId="3865" xr:uid="{00000000-0005-0000-0000-0000240C0000}"/>
    <cellStyle name="Currency 7 7 3" xfId="1839" xr:uid="{00000000-0005-0000-0000-0000250C0000}"/>
    <cellStyle name="Currency 7 7 3 2" xfId="3866" xr:uid="{00000000-0005-0000-0000-0000260C0000}"/>
    <cellStyle name="Currency 7 7 4" xfId="1840" xr:uid="{00000000-0005-0000-0000-0000270C0000}"/>
    <cellStyle name="Currency 7 7 4 2" xfId="3867" xr:uid="{00000000-0005-0000-0000-0000280C0000}"/>
    <cellStyle name="Currency 7 7 5" xfId="3864" xr:uid="{00000000-0005-0000-0000-0000290C0000}"/>
    <cellStyle name="Currency 7 8" xfId="1841" xr:uid="{00000000-0005-0000-0000-00002A0C0000}"/>
    <cellStyle name="Currency 7 8 2" xfId="1842" xr:uid="{00000000-0005-0000-0000-00002B0C0000}"/>
    <cellStyle name="Currency 7 8 2 2" xfId="3869" xr:uid="{00000000-0005-0000-0000-00002C0C0000}"/>
    <cellStyle name="Currency 7 8 3" xfId="1843" xr:uid="{00000000-0005-0000-0000-00002D0C0000}"/>
    <cellStyle name="Currency 7 8 3 2" xfId="3870" xr:uid="{00000000-0005-0000-0000-00002E0C0000}"/>
    <cellStyle name="Currency 7 8 4" xfId="1844" xr:uid="{00000000-0005-0000-0000-00002F0C0000}"/>
    <cellStyle name="Currency 7 8 4 2" xfId="3871" xr:uid="{00000000-0005-0000-0000-0000300C0000}"/>
    <cellStyle name="Currency 7 8 5" xfId="3868" xr:uid="{00000000-0005-0000-0000-0000310C0000}"/>
    <cellStyle name="Currency 7 9" xfId="1845" xr:uid="{00000000-0005-0000-0000-0000320C0000}"/>
    <cellStyle name="Currency 7 9 2" xfId="1846" xr:uid="{00000000-0005-0000-0000-0000330C0000}"/>
    <cellStyle name="Currency 7 9 2 2" xfId="3873" xr:uid="{00000000-0005-0000-0000-0000340C0000}"/>
    <cellStyle name="Currency 7 9 3" xfId="1847" xr:uid="{00000000-0005-0000-0000-0000350C0000}"/>
    <cellStyle name="Currency 7 9 3 2" xfId="3874" xr:uid="{00000000-0005-0000-0000-0000360C0000}"/>
    <cellStyle name="Currency 7 9 4" xfId="1848" xr:uid="{00000000-0005-0000-0000-0000370C0000}"/>
    <cellStyle name="Currency 7 9 4 2" xfId="3875" xr:uid="{00000000-0005-0000-0000-0000380C0000}"/>
    <cellStyle name="Currency 7 9 5" xfId="3872" xr:uid="{00000000-0005-0000-0000-0000390C0000}"/>
    <cellStyle name="Currency 8" xfId="1849" xr:uid="{00000000-0005-0000-0000-00003A0C0000}"/>
    <cellStyle name="Currency 8 10" xfId="1850" xr:uid="{00000000-0005-0000-0000-00003B0C0000}"/>
    <cellStyle name="Currency 8 10 2" xfId="1851" xr:uid="{00000000-0005-0000-0000-00003C0C0000}"/>
    <cellStyle name="Currency 8 10 2 2" xfId="3877" xr:uid="{00000000-0005-0000-0000-00003D0C0000}"/>
    <cellStyle name="Currency 8 10 3" xfId="1852" xr:uid="{00000000-0005-0000-0000-00003E0C0000}"/>
    <cellStyle name="Currency 8 10 3 2" xfId="3878" xr:uid="{00000000-0005-0000-0000-00003F0C0000}"/>
    <cellStyle name="Currency 8 10 4" xfId="1853" xr:uid="{00000000-0005-0000-0000-0000400C0000}"/>
    <cellStyle name="Currency 8 10 4 2" xfId="3879" xr:uid="{00000000-0005-0000-0000-0000410C0000}"/>
    <cellStyle name="Currency 8 10 5" xfId="3876" xr:uid="{00000000-0005-0000-0000-0000420C0000}"/>
    <cellStyle name="Currency 8 11" xfId="1854" xr:uid="{00000000-0005-0000-0000-0000430C0000}"/>
    <cellStyle name="Currency 8 11 2" xfId="1855" xr:uid="{00000000-0005-0000-0000-0000440C0000}"/>
    <cellStyle name="Currency 8 11 2 2" xfId="3881" xr:uid="{00000000-0005-0000-0000-0000450C0000}"/>
    <cellStyle name="Currency 8 11 3" xfId="1856" xr:uid="{00000000-0005-0000-0000-0000460C0000}"/>
    <cellStyle name="Currency 8 11 3 2" xfId="3882" xr:uid="{00000000-0005-0000-0000-0000470C0000}"/>
    <cellStyle name="Currency 8 11 4" xfId="1857" xr:uid="{00000000-0005-0000-0000-0000480C0000}"/>
    <cellStyle name="Currency 8 11 4 2" xfId="3883" xr:uid="{00000000-0005-0000-0000-0000490C0000}"/>
    <cellStyle name="Currency 8 11 5" xfId="3880" xr:uid="{00000000-0005-0000-0000-00004A0C0000}"/>
    <cellStyle name="Currency 8 12" xfId="1858" xr:uid="{00000000-0005-0000-0000-00004B0C0000}"/>
    <cellStyle name="Currency 8 12 2" xfId="1859" xr:uid="{00000000-0005-0000-0000-00004C0C0000}"/>
    <cellStyle name="Currency 8 12 2 2" xfId="3885" xr:uid="{00000000-0005-0000-0000-00004D0C0000}"/>
    <cellStyle name="Currency 8 12 3" xfId="1860" xr:uid="{00000000-0005-0000-0000-00004E0C0000}"/>
    <cellStyle name="Currency 8 12 3 2" xfId="3886" xr:uid="{00000000-0005-0000-0000-00004F0C0000}"/>
    <cellStyle name="Currency 8 12 4" xfId="1861" xr:uid="{00000000-0005-0000-0000-0000500C0000}"/>
    <cellStyle name="Currency 8 12 4 2" xfId="3887" xr:uid="{00000000-0005-0000-0000-0000510C0000}"/>
    <cellStyle name="Currency 8 12 5" xfId="3884" xr:uid="{00000000-0005-0000-0000-0000520C0000}"/>
    <cellStyle name="Currency 8 13" xfId="1862" xr:uid="{00000000-0005-0000-0000-0000530C0000}"/>
    <cellStyle name="Currency 8 13 2" xfId="1863" xr:uid="{00000000-0005-0000-0000-0000540C0000}"/>
    <cellStyle name="Currency 8 13 2 2" xfId="3889" xr:uid="{00000000-0005-0000-0000-0000550C0000}"/>
    <cellStyle name="Currency 8 13 3" xfId="1864" xr:uid="{00000000-0005-0000-0000-0000560C0000}"/>
    <cellStyle name="Currency 8 13 3 2" xfId="3890" xr:uid="{00000000-0005-0000-0000-0000570C0000}"/>
    <cellStyle name="Currency 8 13 4" xfId="1865" xr:uid="{00000000-0005-0000-0000-0000580C0000}"/>
    <cellStyle name="Currency 8 13 4 2" xfId="3891" xr:uid="{00000000-0005-0000-0000-0000590C0000}"/>
    <cellStyle name="Currency 8 13 5" xfId="3888" xr:uid="{00000000-0005-0000-0000-00005A0C0000}"/>
    <cellStyle name="Currency 8 14" xfId="1866" xr:uid="{00000000-0005-0000-0000-00005B0C0000}"/>
    <cellStyle name="Currency 8 14 2" xfId="1867" xr:uid="{00000000-0005-0000-0000-00005C0C0000}"/>
    <cellStyle name="Currency 8 14 2 2" xfId="3893" xr:uid="{00000000-0005-0000-0000-00005D0C0000}"/>
    <cellStyle name="Currency 8 14 3" xfId="1868" xr:uid="{00000000-0005-0000-0000-00005E0C0000}"/>
    <cellStyle name="Currency 8 14 3 2" xfId="3894" xr:uid="{00000000-0005-0000-0000-00005F0C0000}"/>
    <cellStyle name="Currency 8 14 4" xfId="1869" xr:uid="{00000000-0005-0000-0000-0000600C0000}"/>
    <cellStyle name="Currency 8 14 4 2" xfId="3895" xr:uid="{00000000-0005-0000-0000-0000610C0000}"/>
    <cellStyle name="Currency 8 14 5" xfId="3892" xr:uid="{00000000-0005-0000-0000-0000620C0000}"/>
    <cellStyle name="Currency 8 15" xfId="1870" xr:uid="{00000000-0005-0000-0000-0000630C0000}"/>
    <cellStyle name="Currency 8 15 2" xfId="1871" xr:uid="{00000000-0005-0000-0000-0000640C0000}"/>
    <cellStyle name="Currency 8 15 2 2" xfId="3897" xr:uid="{00000000-0005-0000-0000-0000650C0000}"/>
    <cellStyle name="Currency 8 15 3" xfId="1872" xr:uid="{00000000-0005-0000-0000-0000660C0000}"/>
    <cellStyle name="Currency 8 15 3 2" xfId="3898" xr:uid="{00000000-0005-0000-0000-0000670C0000}"/>
    <cellStyle name="Currency 8 15 4" xfId="1873" xr:uid="{00000000-0005-0000-0000-0000680C0000}"/>
    <cellStyle name="Currency 8 15 4 2" xfId="3899" xr:uid="{00000000-0005-0000-0000-0000690C0000}"/>
    <cellStyle name="Currency 8 15 5" xfId="3896" xr:uid="{00000000-0005-0000-0000-00006A0C0000}"/>
    <cellStyle name="Currency 8 16" xfId="1874" xr:uid="{00000000-0005-0000-0000-00006B0C0000}"/>
    <cellStyle name="Currency 8 16 2" xfId="1875" xr:uid="{00000000-0005-0000-0000-00006C0C0000}"/>
    <cellStyle name="Currency 8 16 2 2" xfId="3901" xr:uid="{00000000-0005-0000-0000-00006D0C0000}"/>
    <cellStyle name="Currency 8 16 3" xfId="1876" xr:uid="{00000000-0005-0000-0000-00006E0C0000}"/>
    <cellStyle name="Currency 8 16 3 2" xfId="3902" xr:uid="{00000000-0005-0000-0000-00006F0C0000}"/>
    <cellStyle name="Currency 8 16 4" xfId="1877" xr:uid="{00000000-0005-0000-0000-0000700C0000}"/>
    <cellStyle name="Currency 8 16 4 2" xfId="3903" xr:uid="{00000000-0005-0000-0000-0000710C0000}"/>
    <cellStyle name="Currency 8 16 5" xfId="3900" xr:uid="{00000000-0005-0000-0000-0000720C0000}"/>
    <cellStyle name="Currency 8 17" xfId="1878" xr:uid="{00000000-0005-0000-0000-0000730C0000}"/>
    <cellStyle name="Currency 8 17 2" xfId="1879" xr:uid="{00000000-0005-0000-0000-0000740C0000}"/>
    <cellStyle name="Currency 8 17 2 2" xfId="3905" xr:uid="{00000000-0005-0000-0000-0000750C0000}"/>
    <cellStyle name="Currency 8 17 3" xfId="1880" xr:uid="{00000000-0005-0000-0000-0000760C0000}"/>
    <cellStyle name="Currency 8 17 3 2" xfId="3906" xr:uid="{00000000-0005-0000-0000-0000770C0000}"/>
    <cellStyle name="Currency 8 17 4" xfId="1881" xr:uid="{00000000-0005-0000-0000-0000780C0000}"/>
    <cellStyle name="Currency 8 17 4 2" xfId="3907" xr:uid="{00000000-0005-0000-0000-0000790C0000}"/>
    <cellStyle name="Currency 8 17 5" xfId="3904" xr:uid="{00000000-0005-0000-0000-00007A0C0000}"/>
    <cellStyle name="Currency 8 18" xfId="1882" xr:uid="{00000000-0005-0000-0000-00007B0C0000}"/>
    <cellStyle name="Currency 8 18 2" xfId="1883" xr:uid="{00000000-0005-0000-0000-00007C0C0000}"/>
    <cellStyle name="Currency 8 18 2 2" xfId="3909" xr:uid="{00000000-0005-0000-0000-00007D0C0000}"/>
    <cellStyle name="Currency 8 18 3" xfId="1884" xr:uid="{00000000-0005-0000-0000-00007E0C0000}"/>
    <cellStyle name="Currency 8 18 3 2" xfId="3910" xr:uid="{00000000-0005-0000-0000-00007F0C0000}"/>
    <cellStyle name="Currency 8 18 4" xfId="1885" xr:uid="{00000000-0005-0000-0000-0000800C0000}"/>
    <cellStyle name="Currency 8 18 4 2" xfId="3911" xr:uid="{00000000-0005-0000-0000-0000810C0000}"/>
    <cellStyle name="Currency 8 18 5" xfId="3908" xr:uid="{00000000-0005-0000-0000-0000820C0000}"/>
    <cellStyle name="Currency 8 19" xfId="1886" xr:uid="{00000000-0005-0000-0000-0000830C0000}"/>
    <cellStyle name="Currency 8 19 2" xfId="1887" xr:uid="{00000000-0005-0000-0000-0000840C0000}"/>
    <cellStyle name="Currency 8 19 2 2" xfId="3913" xr:uid="{00000000-0005-0000-0000-0000850C0000}"/>
    <cellStyle name="Currency 8 19 3" xfId="1888" xr:uid="{00000000-0005-0000-0000-0000860C0000}"/>
    <cellStyle name="Currency 8 19 3 2" xfId="3914" xr:uid="{00000000-0005-0000-0000-0000870C0000}"/>
    <cellStyle name="Currency 8 19 4" xfId="1889" xr:uid="{00000000-0005-0000-0000-0000880C0000}"/>
    <cellStyle name="Currency 8 19 4 2" xfId="3915" xr:uid="{00000000-0005-0000-0000-0000890C0000}"/>
    <cellStyle name="Currency 8 19 5" xfId="3912" xr:uid="{00000000-0005-0000-0000-00008A0C0000}"/>
    <cellStyle name="Currency 8 2" xfId="1890" xr:uid="{00000000-0005-0000-0000-00008B0C0000}"/>
    <cellStyle name="Currency 8 2 2" xfId="1891" xr:uid="{00000000-0005-0000-0000-00008C0C0000}"/>
    <cellStyle name="Currency 8 2 2 2" xfId="3917" xr:uid="{00000000-0005-0000-0000-00008D0C0000}"/>
    <cellStyle name="Currency 8 2 3" xfId="1892" xr:uid="{00000000-0005-0000-0000-00008E0C0000}"/>
    <cellStyle name="Currency 8 2 3 2" xfId="3918" xr:uid="{00000000-0005-0000-0000-00008F0C0000}"/>
    <cellStyle name="Currency 8 2 4" xfId="1893" xr:uid="{00000000-0005-0000-0000-0000900C0000}"/>
    <cellStyle name="Currency 8 2 4 2" xfId="3919" xr:uid="{00000000-0005-0000-0000-0000910C0000}"/>
    <cellStyle name="Currency 8 2 5" xfId="3916" xr:uid="{00000000-0005-0000-0000-0000920C0000}"/>
    <cellStyle name="Currency 8 20" xfId="1894" xr:uid="{00000000-0005-0000-0000-0000930C0000}"/>
    <cellStyle name="Currency 8 20 2" xfId="1895" xr:uid="{00000000-0005-0000-0000-0000940C0000}"/>
    <cellStyle name="Currency 8 20 2 2" xfId="3921" xr:uid="{00000000-0005-0000-0000-0000950C0000}"/>
    <cellStyle name="Currency 8 20 3" xfId="1896" xr:uid="{00000000-0005-0000-0000-0000960C0000}"/>
    <cellStyle name="Currency 8 20 3 2" xfId="3922" xr:uid="{00000000-0005-0000-0000-0000970C0000}"/>
    <cellStyle name="Currency 8 20 4" xfId="1897" xr:uid="{00000000-0005-0000-0000-0000980C0000}"/>
    <cellStyle name="Currency 8 20 4 2" xfId="3923" xr:uid="{00000000-0005-0000-0000-0000990C0000}"/>
    <cellStyle name="Currency 8 20 5" xfId="3920" xr:uid="{00000000-0005-0000-0000-00009A0C0000}"/>
    <cellStyle name="Currency 8 21" xfId="1898" xr:uid="{00000000-0005-0000-0000-00009B0C0000}"/>
    <cellStyle name="Currency 8 21 2" xfId="1899" xr:uid="{00000000-0005-0000-0000-00009C0C0000}"/>
    <cellStyle name="Currency 8 21 2 2" xfId="3925" xr:uid="{00000000-0005-0000-0000-00009D0C0000}"/>
    <cellStyle name="Currency 8 21 3" xfId="1900" xr:uid="{00000000-0005-0000-0000-00009E0C0000}"/>
    <cellStyle name="Currency 8 21 3 2" xfId="3926" xr:uid="{00000000-0005-0000-0000-00009F0C0000}"/>
    <cellStyle name="Currency 8 21 4" xfId="3924" xr:uid="{00000000-0005-0000-0000-0000A00C0000}"/>
    <cellStyle name="Currency 8 22" xfId="1901" xr:uid="{00000000-0005-0000-0000-0000A10C0000}"/>
    <cellStyle name="Currency 8 22 2" xfId="3927" xr:uid="{00000000-0005-0000-0000-0000A20C0000}"/>
    <cellStyle name="Currency 8 23" xfId="1902" xr:uid="{00000000-0005-0000-0000-0000A30C0000}"/>
    <cellStyle name="Currency 8 23 2" xfId="3928" xr:uid="{00000000-0005-0000-0000-0000A40C0000}"/>
    <cellStyle name="Currency 8 24" xfId="1903" xr:uid="{00000000-0005-0000-0000-0000A50C0000}"/>
    <cellStyle name="Currency 8 24 2" xfId="3929" xr:uid="{00000000-0005-0000-0000-0000A60C0000}"/>
    <cellStyle name="Currency 8 3" xfId="1904" xr:uid="{00000000-0005-0000-0000-0000A70C0000}"/>
    <cellStyle name="Currency 8 3 2" xfId="1905" xr:uid="{00000000-0005-0000-0000-0000A80C0000}"/>
    <cellStyle name="Currency 8 3 2 2" xfId="3931" xr:uid="{00000000-0005-0000-0000-0000A90C0000}"/>
    <cellStyle name="Currency 8 3 3" xfId="1906" xr:uid="{00000000-0005-0000-0000-0000AA0C0000}"/>
    <cellStyle name="Currency 8 3 3 2" xfId="3932" xr:uid="{00000000-0005-0000-0000-0000AB0C0000}"/>
    <cellStyle name="Currency 8 3 4" xfId="1907" xr:uid="{00000000-0005-0000-0000-0000AC0C0000}"/>
    <cellStyle name="Currency 8 3 4 2" xfId="3933" xr:uid="{00000000-0005-0000-0000-0000AD0C0000}"/>
    <cellStyle name="Currency 8 3 5" xfId="3930" xr:uid="{00000000-0005-0000-0000-0000AE0C0000}"/>
    <cellStyle name="Currency 8 4" xfId="1908" xr:uid="{00000000-0005-0000-0000-0000AF0C0000}"/>
    <cellStyle name="Currency 8 4 2" xfId="1909" xr:uid="{00000000-0005-0000-0000-0000B00C0000}"/>
    <cellStyle name="Currency 8 4 2 2" xfId="3935" xr:uid="{00000000-0005-0000-0000-0000B10C0000}"/>
    <cellStyle name="Currency 8 4 3" xfId="1910" xr:uid="{00000000-0005-0000-0000-0000B20C0000}"/>
    <cellStyle name="Currency 8 4 3 2" xfId="3936" xr:uid="{00000000-0005-0000-0000-0000B30C0000}"/>
    <cellStyle name="Currency 8 4 4" xfId="1911" xr:uid="{00000000-0005-0000-0000-0000B40C0000}"/>
    <cellStyle name="Currency 8 4 4 2" xfId="3937" xr:uid="{00000000-0005-0000-0000-0000B50C0000}"/>
    <cellStyle name="Currency 8 4 5" xfId="3934" xr:uid="{00000000-0005-0000-0000-0000B60C0000}"/>
    <cellStyle name="Currency 8 5" xfId="1912" xr:uid="{00000000-0005-0000-0000-0000B70C0000}"/>
    <cellStyle name="Currency 8 5 2" xfId="1913" xr:uid="{00000000-0005-0000-0000-0000B80C0000}"/>
    <cellStyle name="Currency 8 5 2 2" xfId="3939" xr:uid="{00000000-0005-0000-0000-0000B90C0000}"/>
    <cellStyle name="Currency 8 5 3" xfId="1914" xr:uid="{00000000-0005-0000-0000-0000BA0C0000}"/>
    <cellStyle name="Currency 8 5 3 2" xfId="3940" xr:uid="{00000000-0005-0000-0000-0000BB0C0000}"/>
    <cellStyle name="Currency 8 5 4" xfId="1915" xr:uid="{00000000-0005-0000-0000-0000BC0C0000}"/>
    <cellStyle name="Currency 8 5 4 2" xfId="3941" xr:uid="{00000000-0005-0000-0000-0000BD0C0000}"/>
    <cellStyle name="Currency 8 5 5" xfId="3938" xr:uid="{00000000-0005-0000-0000-0000BE0C0000}"/>
    <cellStyle name="Currency 8 6" xfId="1916" xr:uid="{00000000-0005-0000-0000-0000BF0C0000}"/>
    <cellStyle name="Currency 8 6 2" xfId="1917" xr:uid="{00000000-0005-0000-0000-0000C00C0000}"/>
    <cellStyle name="Currency 8 6 2 2" xfId="3943" xr:uid="{00000000-0005-0000-0000-0000C10C0000}"/>
    <cellStyle name="Currency 8 6 3" xfId="1918" xr:uid="{00000000-0005-0000-0000-0000C20C0000}"/>
    <cellStyle name="Currency 8 6 3 2" xfId="3944" xr:uid="{00000000-0005-0000-0000-0000C30C0000}"/>
    <cellStyle name="Currency 8 6 4" xfId="1919" xr:uid="{00000000-0005-0000-0000-0000C40C0000}"/>
    <cellStyle name="Currency 8 6 4 2" xfId="3945" xr:uid="{00000000-0005-0000-0000-0000C50C0000}"/>
    <cellStyle name="Currency 8 6 5" xfId="3942" xr:uid="{00000000-0005-0000-0000-0000C60C0000}"/>
    <cellStyle name="Currency 8 7" xfId="1920" xr:uid="{00000000-0005-0000-0000-0000C70C0000}"/>
    <cellStyle name="Currency 8 7 2" xfId="1921" xr:uid="{00000000-0005-0000-0000-0000C80C0000}"/>
    <cellStyle name="Currency 8 7 2 2" xfId="3947" xr:uid="{00000000-0005-0000-0000-0000C90C0000}"/>
    <cellStyle name="Currency 8 7 3" xfId="1922" xr:uid="{00000000-0005-0000-0000-0000CA0C0000}"/>
    <cellStyle name="Currency 8 7 3 2" xfId="3948" xr:uid="{00000000-0005-0000-0000-0000CB0C0000}"/>
    <cellStyle name="Currency 8 7 4" xfId="1923" xr:uid="{00000000-0005-0000-0000-0000CC0C0000}"/>
    <cellStyle name="Currency 8 7 4 2" xfId="3949" xr:uid="{00000000-0005-0000-0000-0000CD0C0000}"/>
    <cellStyle name="Currency 8 7 5" xfId="3946" xr:uid="{00000000-0005-0000-0000-0000CE0C0000}"/>
    <cellStyle name="Currency 8 8" xfId="1924" xr:uid="{00000000-0005-0000-0000-0000CF0C0000}"/>
    <cellStyle name="Currency 8 8 2" xfId="1925" xr:uid="{00000000-0005-0000-0000-0000D00C0000}"/>
    <cellStyle name="Currency 8 8 2 2" xfId="3951" xr:uid="{00000000-0005-0000-0000-0000D10C0000}"/>
    <cellStyle name="Currency 8 8 3" xfId="1926" xr:uid="{00000000-0005-0000-0000-0000D20C0000}"/>
    <cellStyle name="Currency 8 8 3 2" xfId="3952" xr:uid="{00000000-0005-0000-0000-0000D30C0000}"/>
    <cellStyle name="Currency 8 8 4" xfId="1927" xr:uid="{00000000-0005-0000-0000-0000D40C0000}"/>
    <cellStyle name="Currency 8 8 4 2" xfId="3953" xr:uid="{00000000-0005-0000-0000-0000D50C0000}"/>
    <cellStyle name="Currency 8 8 5" xfId="3950" xr:uid="{00000000-0005-0000-0000-0000D60C0000}"/>
    <cellStyle name="Currency 8 9" xfId="1928" xr:uid="{00000000-0005-0000-0000-0000D70C0000}"/>
    <cellStyle name="Currency 8 9 2" xfId="1929" xr:uid="{00000000-0005-0000-0000-0000D80C0000}"/>
    <cellStyle name="Currency 8 9 2 2" xfId="3955" xr:uid="{00000000-0005-0000-0000-0000D90C0000}"/>
    <cellStyle name="Currency 8 9 3" xfId="1930" xr:uid="{00000000-0005-0000-0000-0000DA0C0000}"/>
    <cellStyle name="Currency 8 9 3 2" xfId="3956" xr:uid="{00000000-0005-0000-0000-0000DB0C0000}"/>
    <cellStyle name="Currency 8 9 4" xfId="1931" xr:uid="{00000000-0005-0000-0000-0000DC0C0000}"/>
    <cellStyle name="Currency 8 9 4 2" xfId="3957" xr:uid="{00000000-0005-0000-0000-0000DD0C0000}"/>
    <cellStyle name="Currency 8 9 5" xfId="3954" xr:uid="{00000000-0005-0000-0000-0000DE0C0000}"/>
    <cellStyle name="Currency 9" xfId="1932" xr:uid="{00000000-0005-0000-0000-0000DF0C0000}"/>
    <cellStyle name="Currency 9 2" xfId="1933" xr:uid="{00000000-0005-0000-0000-0000E00C0000}"/>
    <cellStyle name="Currency 9 2 2" xfId="3959" xr:uid="{00000000-0005-0000-0000-0000E10C0000}"/>
    <cellStyle name="Currency 9 3" xfId="1934" xr:uid="{00000000-0005-0000-0000-0000E20C0000}"/>
    <cellStyle name="Currency 9 3 2" xfId="3960" xr:uid="{00000000-0005-0000-0000-0000E30C0000}"/>
    <cellStyle name="Currency 9 4" xfId="1935" xr:uid="{00000000-0005-0000-0000-0000E40C0000}"/>
    <cellStyle name="Currency 9 4 2" xfId="3961" xr:uid="{00000000-0005-0000-0000-0000E50C0000}"/>
    <cellStyle name="Currency 9 5" xfId="2610" xr:uid="{00000000-0005-0000-0000-0000E60C0000}"/>
    <cellStyle name="Currency 9 5 2" xfId="3964" xr:uid="{00000000-0005-0000-0000-0000E70C0000}"/>
    <cellStyle name="Currency 9 6" xfId="3958" xr:uid="{00000000-0005-0000-0000-0000E80C0000}"/>
    <cellStyle name="Explanatory Text 2" xfId="2594" xr:uid="{00000000-0005-0000-0000-0000E90C0000}"/>
    <cellStyle name="Good 2" xfId="2585" xr:uid="{00000000-0005-0000-0000-0000EA0C0000}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 2" xfId="2588" xr:uid="{00000000-0005-0000-0000-0000EF0C0000}"/>
    <cellStyle name="Linked Cell 2" xfId="2591" xr:uid="{00000000-0005-0000-0000-0000F00C0000}"/>
    <cellStyle name="Neutral 2" xfId="2587" xr:uid="{00000000-0005-0000-0000-0000F10C0000}"/>
    <cellStyle name="Normal" xfId="0" builtinId="0"/>
    <cellStyle name="Normal 10" xfId="1936" xr:uid="{00000000-0005-0000-0000-0000F30C0000}"/>
    <cellStyle name="Normal 10 2" xfId="1937" xr:uid="{00000000-0005-0000-0000-0000F40C0000}"/>
    <cellStyle name="Normal 10 3" xfId="1938" xr:uid="{00000000-0005-0000-0000-0000F50C0000}"/>
    <cellStyle name="Normal 10 4" xfId="1939" xr:uid="{00000000-0005-0000-0000-0000F60C0000}"/>
    <cellStyle name="Normal 11" xfId="1940" xr:uid="{00000000-0005-0000-0000-0000F70C0000}"/>
    <cellStyle name="Normal 11 2" xfId="1941" xr:uid="{00000000-0005-0000-0000-0000F80C0000}"/>
    <cellStyle name="Normal 11 3" xfId="1942" xr:uid="{00000000-0005-0000-0000-0000F90C0000}"/>
    <cellStyle name="Normal 11 4" xfId="1943" xr:uid="{00000000-0005-0000-0000-0000FA0C0000}"/>
    <cellStyle name="Normal 11 4 2" xfId="2642" xr:uid="{00000000-0005-0000-0000-0000FB0C0000}"/>
    <cellStyle name="Normal 11 4 3" xfId="2630" xr:uid="{00000000-0005-0000-0000-0000FC0C0000}"/>
    <cellStyle name="Normal 11 5" xfId="2608" xr:uid="{00000000-0005-0000-0000-0000FD0C0000}"/>
    <cellStyle name="Normal 12" xfId="1944" xr:uid="{00000000-0005-0000-0000-0000FE0C0000}"/>
    <cellStyle name="Normal 12 2" xfId="1945" xr:uid="{00000000-0005-0000-0000-0000FF0C0000}"/>
    <cellStyle name="Normal 12 3" xfId="1946" xr:uid="{00000000-0005-0000-0000-0000000D0000}"/>
    <cellStyle name="Normal 12 4" xfId="1947" xr:uid="{00000000-0005-0000-0000-0000010D0000}"/>
    <cellStyle name="Normal 13" xfId="1948" xr:uid="{00000000-0005-0000-0000-0000020D0000}"/>
    <cellStyle name="Normal 13 2" xfId="1949" xr:uid="{00000000-0005-0000-0000-0000030D0000}"/>
    <cellStyle name="Normal 13 3" xfId="1950" xr:uid="{00000000-0005-0000-0000-0000040D0000}"/>
    <cellStyle name="Normal 13 4" xfId="1951" xr:uid="{00000000-0005-0000-0000-0000050D0000}"/>
    <cellStyle name="Normal 14" xfId="1952" xr:uid="{00000000-0005-0000-0000-0000060D0000}"/>
    <cellStyle name="Normal 14 2" xfId="1953" xr:uid="{00000000-0005-0000-0000-0000070D0000}"/>
    <cellStyle name="Normal 14 3" xfId="1954" xr:uid="{00000000-0005-0000-0000-0000080D0000}"/>
    <cellStyle name="Normal 14 4" xfId="1955" xr:uid="{00000000-0005-0000-0000-0000090D0000}"/>
    <cellStyle name="Normal 15" xfId="1956" xr:uid="{00000000-0005-0000-0000-00000A0D0000}"/>
    <cellStyle name="Normal 15 2" xfId="1957" xr:uid="{00000000-0005-0000-0000-00000B0D0000}"/>
    <cellStyle name="Normal 15 3" xfId="1958" xr:uid="{00000000-0005-0000-0000-00000C0D0000}"/>
    <cellStyle name="Normal 15 4" xfId="1959" xr:uid="{00000000-0005-0000-0000-00000D0D0000}"/>
    <cellStyle name="Normal 16" xfId="1960" xr:uid="{00000000-0005-0000-0000-00000E0D0000}"/>
    <cellStyle name="Normal 16 2" xfId="1961" xr:uid="{00000000-0005-0000-0000-00000F0D0000}"/>
    <cellStyle name="Normal 16 3" xfId="1962" xr:uid="{00000000-0005-0000-0000-0000100D0000}"/>
    <cellStyle name="Normal 16 4" xfId="1963" xr:uid="{00000000-0005-0000-0000-0000110D0000}"/>
    <cellStyle name="Normal 17" xfId="1964" xr:uid="{00000000-0005-0000-0000-0000120D0000}"/>
    <cellStyle name="Normal 17 2" xfId="1965" xr:uid="{00000000-0005-0000-0000-0000130D0000}"/>
    <cellStyle name="Normal 17 3" xfId="1966" xr:uid="{00000000-0005-0000-0000-0000140D0000}"/>
    <cellStyle name="Normal 17 4" xfId="1967" xr:uid="{00000000-0005-0000-0000-0000150D0000}"/>
    <cellStyle name="Normal 18" xfId="1968" xr:uid="{00000000-0005-0000-0000-0000160D0000}"/>
    <cellStyle name="Normal 18 2" xfId="1969" xr:uid="{00000000-0005-0000-0000-0000170D0000}"/>
    <cellStyle name="Normal 18 3" xfId="1970" xr:uid="{00000000-0005-0000-0000-0000180D0000}"/>
    <cellStyle name="Normal 18 4" xfId="1971" xr:uid="{00000000-0005-0000-0000-0000190D0000}"/>
    <cellStyle name="Normal 19" xfId="1972" xr:uid="{00000000-0005-0000-0000-00001A0D0000}"/>
    <cellStyle name="Normal 19 2" xfId="1973" xr:uid="{00000000-0005-0000-0000-00001B0D0000}"/>
    <cellStyle name="Normal 19 3" xfId="1974" xr:uid="{00000000-0005-0000-0000-00001C0D0000}"/>
    <cellStyle name="Normal 19 4" xfId="1975" xr:uid="{00000000-0005-0000-0000-00001D0D0000}"/>
    <cellStyle name="Normal 2" xfId="1" xr:uid="{00000000-0005-0000-0000-00001E0D0000}"/>
    <cellStyle name="Normal 2 2" xfId="1977" xr:uid="{00000000-0005-0000-0000-00001F0D0000}"/>
    <cellStyle name="Normal 2 2 2" xfId="2617" xr:uid="{00000000-0005-0000-0000-0000200D0000}"/>
    <cellStyle name="Normal 2 2 3" xfId="2613" xr:uid="{00000000-0005-0000-0000-0000210D0000}"/>
    <cellStyle name="Normal 2 3" xfId="1978" xr:uid="{00000000-0005-0000-0000-0000220D0000}"/>
    <cellStyle name="Normal 2 3 2" xfId="1979" xr:uid="{00000000-0005-0000-0000-0000230D0000}"/>
    <cellStyle name="Normal 2 4" xfId="2616" xr:uid="{00000000-0005-0000-0000-0000240D0000}"/>
    <cellStyle name="Normal 2 5" xfId="2611" xr:uid="{00000000-0005-0000-0000-0000250D0000}"/>
    <cellStyle name="Normal 2 6" xfId="1976" xr:uid="{00000000-0005-0000-0000-0000260D0000}"/>
    <cellStyle name="Normal 2 6 2" xfId="3989" xr:uid="{00000000-0005-0000-0000-0000270D0000}"/>
    <cellStyle name="Normal 20" xfId="1980" xr:uid="{00000000-0005-0000-0000-0000280D0000}"/>
    <cellStyle name="Normal 20 2" xfId="1981" xr:uid="{00000000-0005-0000-0000-0000290D0000}"/>
    <cellStyle name="Normal 20 3" xfId="1982" xr:uid="{00000000-0005-0000-0000-00002A0D0000}"/>
    <cellStyle name="Normal 20 4" xfId="1983" xr:uid="{00000000-0005-0000-0000-00002B0D0000}"/>
    <cellStyle name="Normal 21" xfId="1984" xr:uid="{00000000-0005-0000-0000-00002C0D0000}"/>
    <cellStyle name="Normal 21 2" xfId="1985" xr:uid="{00000000-0005-0000-0000-00002D0D0000}"/>
    <cellStyle name="Normal 21 3" xfId="1986" xr:uid="{00000000-0005-0000-0000-00002E0D0000}"/>
    <cellStyle name="Normal 21 4" xfId="1987" xr:uid="{00000000-0005-0000-0000-00002F0D0000}"/>
    <cellStyle name="Normal 22" xfId="1988" xr:uid="{00000000-0005-0000-0000-0000300D0000}"/>
    <cellStyle name="Normal 22 2" xfId="1989" xr:uid="{00000000-0005-0000-0000-0000310D0000}"/>
    <cellStyle name="Normal 22 3" xfId="1990" xr:uid="{00000000-0005-0000-0000-0000320D0000}"/>
    <cellStyle name="Normal 22 4" xfId="1991" xr:uid="{00000000-0005-0000-0000-0000330D0000}"/>
    <cellStyle name="Normal 23" xfId="1992" xr:uid="{00000000-0005-0000-0000-0000340D0000}"/>
    <cellStyle name="Normal 23 2" xfId="1993" xr:uid="{00000000-0005-0000-0000-0000350D0000}"/>
    <cellStyle name="Normal 23 3" xfId="1994" xr:uid="{00000000-0005-0000-0000-0000360D0000}"/>
    <cellStyle name="Normal 23 4" xfId="1995" xr:uid="{00000000-0005-0000-0000-0000370D0000}"/>
    <cellStyle name="Normal 24" xfId="1996" xr:uid="{00000000-0005-0000-0000-0000380D0000}"/>
    <cellStyle name="Normal 24 2" xfId="1997" xr:uid="{00000000-0005-0000-0000-0000390D0000}"/>
    <cellStyle name="Normal 24 3" xfId="1998" xr:uid="{00000000-0005-0000-0000-00003A0D0000}"/>
    <cellStyle name="Normal 24 4" xfId="1999" xr:uid="{00000000-0005-0000-0000-00003B0D0000}"/>
    <cellStyle name="Normal 25" xfId="2000" xr:uid="{00000000-0005-0000-0000-00003C0D0000}"/>
    <cellStyle name="Normal 25 2" xfId="2001" xr:uid="{00000000-0005-0000-0000-00003D0D0000}"/>
    <cellStyle name="Normal 25 3" xfId="2002" xr:uid="{00000000-0005-0000-0000-00003E0D0000}"/>
    <cellStyle name="Normal 25 4" xfId="2003" xr:uid="{00000000-0005-0000-0000-00003F0D0000}"/>
    <cellStyle name="Normal 26" xfId="2004" xr:uid="{00000000-0005-0000-0000-0000400D0000}"/>
    <cellStyle name="Normal 26 2" xfId="2005" xr:uid="{00000000-0005-0000-0000-0000410D0000}"/>
    <cellStyle name="Normal 26 3" xfId="2006" xr:uid="{00000000-0005-0000-0000-0000420D0000}"/>
    <cellStyle name="Normal 26 4" xfId="2007" xr:uid="{00000000-0005-0000-0000-0000430D0000}"/>
    <cellStyle name="Normal 27" xfId="2008" xr:uid="{00000000-0005-0000-0000-0000440D0000}"/>
    <cellStyle name="Normal 27 2" xfId="2009" xr:uid="{00000000-0005-0000-0000-0000450D0000}"/>
    <cellStyle name="Normal 27 3" xfId="2010" xr:uid="{00000000-0005-0000-0000-0000460D0000}"/>
    <cellStyle name="Normal 27 4" xfId="2011" xr:uid="{00000000-0005-0000-0000-0000470D0000}"/>
    <cellStyle name="Normal 28" xfId="2012" xr:uid="{00000000-0005-0000-0000-0000480D0000}"/>
    <cellStyle name="Normal 28 2" xfId="2013" xr:uid="{00000000-0005-0000-0000-0000490D0000}"/>
    <cellStyle name="Normal 28 3" xfId="2014" xr:uid="{00000000-0005-0000-0000-00004A0D0000}"/>
    <cellStyle name="Normal 28 4" xfId="2015" xr:uid="{00000000-0005-0000-0000-00004B0D0000}"/>
    <cellStyle name="Normal 29" xfId="2016" xr:uid="{00000000-0005-0000-0000-00004C0D0000}"/>
    <cellStyle name="Normal 29 2" xfId="2017" xr:uid="{00000000-0005-0000-0000-00004D0D0000}"/>
    <cellStyle name="Normal 29 3" xfId="2018" xr:uid="{00000000-0005-0000-0000-00004E0D0000}"/>
    <cellStyle name="Normal 29 4" xfId="2019" xr:uid="{00000000-0005-0000-0000-00004F0D0000}"/>
    <cellStyle name="Normal 3" xfId="3" xr:uid="{00000000-0005-0000-0000-0000500D0000}"/>
    <cellStyle name="Normal 3 10" xfId="2021" xr:uid="{00000000-0005-0000-0000-0000510D0000}"/>
    <cellStyle name="Normal 3 10 2" xfId="2022" xr:uid="{00000000-0005-0000-0000-0000520D0000}"/>
    <cellStyle name="Normal 3 10 3" xfId="2023" xr:uid="{00000000-0005-0000-0000-0000530D0000}"/>
    <cellStyle name="Normal 3 10 4" xfId="2024" xr:uid="{00000000-0005-0000-0000-0000540D0000}"/>
    <cellStyle name="Normal 3 11" xfId="2025" xr:uid="{00000000-0005-0000-0000-0000550D0000}"/>
    <cellStyle name="Normal 3 11 2" xfId="2026" xr:uid="{00000000-0005-0000-0000-0000560D0000}"/>
    <cellStyle name="Normal 3 11 3" xfId="2027" xr:uid="{00000000-0005-0000-0000-0000570D0000}"/>
    <cellStyle name="Normal 3 11 4" xfId="2028" xr:uid="{00000000-0005-0000-0000-0000580D0000}"/>
    <cellStyle name="Normal 3 12" xfId="2029" xr:uid="{00000000-0005-0000-0000-0000590D0000}"/>
    <cellStyle name="Normal 3 12 2" xfId="2030" xr:uid="{00000000-0005-0000-0000-00005A0D0000}"/>
    <cellStyle name="Normal 3 12 3" xfId="2031" xr:uid="{00000000-0005-0000-0000-00005B0D0000}"/>
    <cellStyle name="Normal 3 12 4" xfId="2032" xr:uid="{00000000-0005-0000-0000-00005C0D0000}"/>
    <cellStyle name="Normal 3 13" xfId="2033" xr:uid="{00000000-0005-0000-0000-00005D0D0000}"/>
    <cellStyle name="Normal 3 13 2" xfId="2034" xr:uid="{00000000-0005-0000-0000-00005E0D0000}"/>
    <cellStyle name="Normal 3 13 3" xfId="2035" xr:uid="{00000000-0005-0000-0000-00005F0D0000}"/>
    <cellStyle name="Normal 3 13 4" xfId="2036" xr:uid="{00000000-0005-0000-0000-0000600D0000}"/>
    <cellStyle name="Normal 3 14" xfId="2037" xr:uid="{00000000-0005-0000-0000-0000610D0000}"/>
    <cellStyle name="Normal 3 14 2" xfId="2038" xr:uid="{00000000-0005-0000-0000-0000620D0000}"/>
    <cellStyle name="Normal 3 14 3" xfId="2039" xr:uid="{00000000-0005-0000-0000-0000630D0000}"/>
    <cellStyle name="Normal 3 14 4" xfId="2040" xr:uid="{00000000-0005-0000-0000-0000640D0000}"/>
    <cellStyle name="Normal 3 15" xfId="2041" xr:uid="{00000000-0005-0000-0000-0000650D0000}"/>
    <cellStyle name="Normal 3 15 2" xfId="2042" xr:uid="{00000000-0005-0000-0000-0000660D0000}"/>
    <cellStyle name="Normal 3 15 3" xfId="2043" xr:uid="{00000000-0005-0000-0000-0000670D0000}"/>
    <cellStyle name="Normal 3 15 4" xfId="2044" xr:uid="{00000000-0005-0000-0000-0000680D0000}"/>
    <cellStyle name="Normal 3 16" xfId="2045" xr:uid="{00000000-0005-0000-0000-0000690D0000}"/>
    <cellStyle name="Normal 3 16 2" xfId="2046" xr:uid="{00000000-0005-0000-0000-00006A0D0000}"/>
    <cellStyle name="Normal 3 16 3" xfId="2047" xr:uid="{00000000-0005-0000-0000-00006B0D0000}"/>
    <cellStyle name="Normal 3 16 4" xfId="2048" xr:uid="{00000000-0005-0000-0000-00006C0D0000}"/>
    <cellStyle name="Normal 3 17" xfId="2049" xr:uid="{00000000-0005-0000-0000-00006D0D0000}"/>
    <cellStyle name="Normal 3 17 2" xfId="2050" xr:uid="{00000000-0005-0000-0000-00006E0D0000}"/>
    <cellStyle name="Normal 3 17 3" xfId="2051" xr:uid="{00000000-0005-0000-0000-00006F0D0000}"/>
    <cellStyle name="Normal 3 17 4" xfId="2052" xr:uid="{00000000-0005-0000-0000-0000700D0000}"/>
    <cellStyle name="Normal 3 18" xfId="2053" xr:uid="{00000000-0005-0000-0000-0000710D0000}"/>
    <cellStyle name="Normal 3 18 2" xfId="2054" xr:uid="{00000000-0005-0000-0000-0000720D0000}"/>
    <cellStyle name="Normal 3 18 3" xfId="2055" xr:uid="{00000000-0005-0000-0000-0000730D0000}"/>
    <cellStyle name="Normal 3 18 4" xfId="2056" xr:uid="{00000000-0005-0000-0000-0000740D0000}"/>
    <cellStyle name="Normal 3 19" xfId="2057" xr:uid="{00000000-0005-0000-0000-0000750D0000}"/>
    <cellStyle name="Normal 3 19 2" xfId="2058" xr:uid="{00000000-0005-0000-0000-0000760D0000}"/>
    <cellStyle name="Normal 3 19 3" xfId="2059" xr:uid="{00000000-0005-0000-0000-0000770D0000}"/>
    <cellStyle name="Normal 3 19 4" xfId="2060" xr:uid="{00000000-0005-0000-0000-0000780D0000}"/>
    <cellStyle name="Normal 3 2" xfId="2061" xr:uid="{00000000-0005-0000-0000-0000790D0000}"/>
    <cellStyle name="Normal 3 2 2" xfId="2062" xr:uid="{00000000-0005-0000-0000-00007A0D0000}"/>
    <cellStyle name="Normal 3 2 3" xfId="2063" xr:uid="{00000000-0005-0000-0000-00007B0D0000}"/>
    <cellStyle name="Normal 3 2 3 2" xfId="2064" xr:uid="{00000000-0005-0000-0000-00007C0D0000}"/>
    <cellStyle name="Normal 3 2 3 3" xfId="2065" xr:uid="{00000000-0005-0000-0000-00007D0D0000}"/>
    <cellStyle name="Normal 3 20" xfId="2066" xr:uid="{00000000-0005-0000-0000-00007E0D0000}"/>
    <cellStyle name="Normal 3 20 2" xfId="2067" xr:uid="{00000000-0005-0000-0000-00007F0D0000}"/>
    <cellStyle name="Normal 3 20 3" xfId="2068" xr:uid="{00000000-0005-0000-0000-0000800D0000}"/>
    <cellStyle name="Normal 3 20 4" xfId="2069" xr:uid="{00000000-0005-0000-0000-0000810D0000}"/>
    <cellStyle name="Normal 3 21" xfId="2070" xr:uid="{00000000-0005-0000-0000-0000820D0000}"/>
    <cellStyle name="Normal 3 21 2" xfId="2071" xr:uid="{00000000-0005-0000-0000-0000830D0000}"/>
    <cellStyle name="Normal 3 21 3" xfId="2072" xr:uid="{00000000-0005-0000-0000-0000840D0000}"/>
    <cellStyle name="Normal 3 21 4" xfId="2073" xr:uid="{00000000-0005-0000-0000-0000850D0000}"/>
    <cellStyle name="Normal 3 22" xfId="2074" xr:uid="{00000000-0005-0000-0000-0000860D0000}"/>
    <cellStyle name="Normal 3 23" xfId="2075" xr:uid="{00000000-0005-0000-0000-0000870D0000}"/>
    <cellStyle name="Normal 3 24" xfId="2076" xr:uid="{00000000-0005-0000-0000-0000880D0000}"/>
    <cellStyle name="Normal 3 25" xfId="2020" xr:uid="{00000000-0005-0000-0000-0000890D0000}"/>
    <cellStyle name="Normal 3 3" xfId="2077" xr:uid="{00000000-0005-0000-0000-00008A0D0000}"/>
    <cellStyle name="Normal 3 3 2" xfId="2078" xr:uid="{00000000-0005-0000-0000-00008B0D0000}"/>
    <cellStyle name="Normal 3 3 3" xfId="2079" xr:uid="{00000000-0005-0000-0000-00008C0D0000}"/>
    <cellStyle name="Normal 3 3 4" xfId="2080" xr:uid="{00000000-0005-0000-0000-00008D0D0000}"/>
    <cellStyle name="Normal 3 4" xfId="2081" xr:uid="{00000000-0005-0000-0000-00008E0D0000}"/>
    <cellStyle name="Normal 3 4 2" xfId="2082" xr:uid="{00000000-0005-0000-0000-00008F0D0000}"/>
    <cellStyle name="Normal 3 4 3" xfId="2083" xr:uid="{00000000-0005-0000-0000-0000900D0000}"/>
    <cellStyle name="Normal 3 4 4" xfId="2084" xr:uid="{00000000-0005-0000-0000-0000910D0000}"/>
    <cellStyle name="Normal 3 5" xfId="2085" xr:uid="{00000000-0005-0000-0000-0000920D0000}"/>
    <cellStyle name="Normal 3 5 2" xfId="2086" xr:uid="{00000000-0005-0000-0000-0000930D0000}"/>
    <cellStyle name="Normal 3 5 3" xfId="2087" xr:uid="{00000000-0005-0000-0000-0000940D0000}"/>
    <cellStyle name="Normal 3 5 4" xfId="2088" xr:uid="{00000000-0005-0000-0000-0000950D0000}"/>
    <cellStyle name="Normal 3 6" xfId="2089" xr:uid="{00000000-0005-0000-0000-0000960D0000}"/>
    <cellStyle name="Normal 3 6 2" xfId="2090" xr:uid="{00000000-0005-0000-0000-0000970D0000}"/>
    <cellStyle name="Normal 3 6 3" xfId="2091" xr:uid="{00000000-0005-0000-0000-0000980D0000}"/>
    <cellStyle name="Normal 3 6 4" xfId="2092" xr:uid="{00000000-0005-0000-0000-0000990D0000}"/>
    <cellStyle name="Normal 3 7" xfId="2093" xr:uid="{00000000-0005-0000-0000-00009A0D0000}"/>
    <cellStyle name="Normal 3 7 2" xfId="2094" xr:uid="{00000000-0005-0000-0000-00009B0D0000}"/>
    <cellStyle name="Normal 3 7 3" xfId="2095" xr:uid="{00000000-0005-0000-0000-00009C0D0000}"/>
    <cellStyle name="Normal 3 7 4" xfId="2096" xr:uid="{00000000-0005-0000-0000-00009D0D0000}"/>
    <cellStyle name="Normal 3 8" xfId="2097" xr:uid="{00000000-0005-0000-0000-00009E0D0000}"/>
    <cellStyle name="Normal 3 8 2" xfId="2098" xr:uid="{00000000-0005-0000-0000-00009F0D0000}"/>
    <cellStyle name="Normal 3 8 3" xfId="2099" xr:uid="{00000000-0005-0000-0000-0000A00D0000}"/>
    <cellStyle name="Normal 3 8 4" xfId="2100" xr:uid="{00000000-0005-0000-0000-0000A10D0000}"/>
    <cellStyle name="Normal 3 9" xfId="2101" xr:uid="{00000000-0005-0000-0000-0000A20D0000}"/>
    <cellStyle name="Normal 3 9 2" xfId="2102" xr:uid="{00000000-0005-0000-0000-0000A30D0000}"/>
    <cellStyle name="Normal 3 9 3" xfId="2103" xr:uid="{00000000-0005-0000-0000-0000A40D0000}"/>
    <cellStyle name="Normal 3 9 4" xfId="2104" xr:uid="{00000000-0005-0000-0000-0000A50D0000}"/>
    <cellStyle name="Normal 30" xfId="2105" xr:uid="{00000000-0005-0000-0000-0000A60D0000}"/>
    <cellStyle name="Normal 31" xfId="2106" xr:uid="{00000000-0005-0000-0000-0000A70D0000}"/>
    <cellStyle name="Normal 32" xfId="15" xr:uid="{00000000-0005-0000-0000-0000A80D0000}"/>
    <cellStyle name="Normal 32 2" xfId="2638" xr:uid="{00000000-0005-0000-0000-0000A90D0000}"/>
    <cellStyle name="Normal 32 3" xfId="2657" xr:uid="{00000000-0005-0000-0000-0000AA0D0000}"/>
    <cellStyle name="Normal 33" xfId="2107" xr:uid="{00000000-0005-0000-0000-0000AB0D0000}"/>
    <cellStyle name="Normal 34" xfId="2627" xr:uid="{00000000-0005-0000-0000-0000AC0D0000}"/>
    <cellStyle name="Normal 35" xfId="2646" xr:uid="{00000000-0005-0000-0000-0000AD0D0000}"/>
    <cellStyle name="Normal 35 2" xfId="2653" xr:uid="{00000000-0005-0000-0000-0000AE0D0000}"/>
    <cellStyle name="Normal 36" xfId="2649" xr:uid="{00000000-0005-0000-0000-0000AF0D0000}"/>
    <cellStyle name="Normal 37" xfId="10" xr:uid="{00000000-0005-0000-0000-0000B00D0000}"/>
    <cellStyle name="Normal 37 2" xfId="3986" xr:uid="{00000000-0005-0000-0000-0000B10D0000}"/>
    <cellStyle name="Normal 38" xfId="3987" xr:uid="{00000000-0005-0000-0000-0000B20D0000}"/>
    <cellStyle name="Normal 39" xfId="3988" xr:uid="{00000000-0005-0000-0000-0000B30D0000}"/>
    <cellStyle name="Normal 39 2" xfId="3995" xr:uid="{00000000-0005-0000-0000-0000B40D0000}"/>
    <cellStyle name="Normal 4" xfId="2108" xr:uid="{00000000-0005-0000-0000-0000B50D0000}"/>
    <cellStyle name="Normal 4 10" xfId="2109" xr:uid="{00000000-0005-0000-0000-0000B60D0000}"/>
    <cellStyle name="Normal 4 10 2" xfId="2110" xr:uid="{00000000-0005-0000-0000-0000B70D0000}"/>
    <cellStyle name="Normal 4 10 3" xfId="2111" xr:uid="{00000000-0005-0000-0000-0000B80D0000}"/>
    <cellStyle name="Normal 4 10 4" xfId="2112" xr:uid="{00000000-0005-0000-0000-0000B90D0000}"/>
    <cellStyle name="Normal 4 11" xfId="2113" xr:uid="{00000000-0005-0000-0000-0000BA0D0000}"/>
    <cellStyle name="Normal 4 11 2" xfId="2114" xr:uid="{00000000-0005-0000-0000-0000BB0D0000}"/>
    <cellStyle name="Normal 4 11 3" xfId="2115" xr:uid="{00000000-0005-0000-0000-0000BC0D0000}"/>
    <cellStyle name="Normal 4 11 4" xfId="2116" xr:uid="{00000000-0005-0000-0000-0000BD0D0000}"/>
    <cellStyle name="Normal 4 12" xfId="2117" xr:uid="{00000000-0005-0000-0000-0000BE0D0000}"/>
    <cellStyle name="Normal 4 12 2" xfId="2118" xr:uid="{00000000-0005-0000-0000-0000BF0D0000}"/>
    <cellStyle name="Normal 4 12 3" xfId="2119" xr:uid="{00000000-0005-0000-0000-0000C00D0000}"/>
    <cellStyle name="Normal 4 12 4" xfId="2120" xr:uid="{00000000-0005-0000-0000-0000C10D0000}"/>
    <cellStyle name="Normal 4 13" xfId="2121" xr:uid="{00000000-0005-0000-0000-0000C20D0000}"/>
    <cellStyle name="Normal 4 13 2" xfId="2122" xr:uid="{00000000-0005-0000-0000-0000C30D0000}"/>
    <cellStyle name="Normal 4 13 3" xfId="2123" xr:uid="{00000000-0005-0000-0000-0000C40D0000}"/>
    <cellStyle name="Normal 4 13 4" xfId="2124" xr:uid="{00000000-0005-0000-0000-0000C50D0000}"/>
    <cellStyle name="Normal 4 14" xfId="2125" xr:uid="{00000000-0005-0000-0000-0000C60D0000}"/>
    <cellStyle name="Normal 4 14 2" xfId="2126" xr:uid="{00000000-0005-0000-0000-0000C70D0000}"/>
    <cellStyle name="Normal 4 14 3" xfId="2127" xr:uid="{00000000-0005-0000-0000-0000C80D0000}"/>
    <cellStyle name="Normal 4 14 4" xfId="2128" xr:uid="{00000000-0005-0000-0000-0000C90D0000}"/>
    <cellStyle name="Normal 4 15" xfId="2129" xr:uid="{00000000-0005-0000-0000-0000CA0D0000}"/>
    <cellStyle name="Normal 4 15 2" xfId="2130" xr:uid="{00000000-0005-0000-0000-0000CB0D0000}"/>
    <cellStyle name="Normal 4 15 3" xfId="2131" xr:uid="{00000000-0005-0000-0000-0000CC0D0000}"/>
    <cellStyle name="Normal 4 15 4" xfId="2132" xr:uid="{00000000-0005-0000-0000-0000CD0D0000}"/>
    <cellStyle name="Normal 4 16" xfId="2133" xr:uid="{00000000-0005-0000-0000-0000CE0D0000}"/>
    <cellStyle name="Normal 4 16 2" xfId="2134" xr:uid="{00000000-0005-0000-0000-0000CF0D0000}"/>
    <cellStyle name="Normal 4 16 3" xfId="2135" xr:uid="{00000000-0005-0000-0000-0000D00D0000}"/>
    <cellStyle name="Normal 4 16 4" xfId="2136" xr:uid="{00000000-0005-0000-0000-0000D10D0000}"/>
    <cellStyle name="Normal 4 17" xfId="2137" xr:uid="{00000000-0005-0000-0000-0000D20D0000}"/>
    <cellStyle name="Normal 4 17 2" xfId="2138" xr:uid="{00000000-0005-0000-0000-0000D30D0000}"/>
    <cellStyle name="Normal 4 17 3" xfId="2139" xr:uid="{00000000-0005-0000-0000-0000D40D0000}"/>
    <cellStyle name="Normal 4 17 4" xfId="2140" xr:uid="{00000000-0005-0000-0000-0000D50D0000}"/>
    <cellStyle name="Normal 4 18" xfId="2141" xr:uid="{00000000-0005-0000-0000-0000D60D0000}"/>
    <cellStyle name="Normal 4 18 2" xfId="2142" xr:uid="{00000000-0005-0000-0000-0000D70D0000}"/>
    <cellStyle name="Normal 4 18 3" xfId="2143" xr:uid="{00000000-0005-0000-0000-0000D80D0000}"/>
    <cellStyle name="Normal 4 18 4" xfId="2144" xr:uid="{00000000-0005-0000-0000-0000D90D0000}"/>
    <cellStyle name="Normal 4 19" xfId="2145" xr:uid="{00000000-0005-0000-0000-0000DA0D0000}"/>
    <cellStyle name="Normal 4 19 2" xfId="2146" xr:uid="{00000000-0005-0000-0000-0000DB0D0000}"/>
    <cellStyle name="Normal 4 19 3" xfId="2147" xr:uid="{00000000-0005-0000-0000-0000DC0D0000}"/>
    <cellStyle name="Normal 4 19 4" xfId="2148" xr:uid="{00000000-0005-0000-0000-0000DD0D0000}"/>
    <cellStyle name="Normal 4 2" xfId="2149" xr:uid="{00000000-0005-0000-0000-0000DE0D0000}"/>
    <cellStyle name="Normal 4 2 2" xfId="2150" xr:uid="{00000000-0005-0000-0000-0000DF0D0000}"/>
    <cellStyle name="Normal 4 2 3" xfId="2151" xr:uid="{00000000-0005-0000-0000-0000E00D0000}"/>
    <cellStyle name="Normal 4 2 4" xfId="2152" xr:uid="{00000000-0005-0000-0000-0000E10D0000}"/>
    <cellStyle name="Normal 4 20" xfId="2153" xr:uid="{00000000-0005-0000-0000-0000E20D0000}"/>
    <cellStyle name="Normal 4 20 2" xfId="2154" xr:uid="{00000000-0005-0000-0000-0000E30D0000}"/>
    <cellStyle name="Normal 4 20 3" xfId="2155" xr:uid="{00000000-0005-0000-0000-0000E40D0000}"/>
    <cellStyle name="Normal 4 20 4" xfId="2156" xr:uid="{00000000-0005-0000-0000-0000E50D0000}"/>
    <cellStyle name="Normal 4 21" xfId="2157" xr:uid="{00000000-0005-0000-0000-0000E60D0000}"/>
    <cellStyle name="Normal 4 21 2" xfId="2158" xr:uid="{00000000-0005-0000-0000-0000E70D0000}"/>
    <cellStyle name="Normal 4 21 3" xfId="2159" xr:uid="{00000000-0005-0000-0000-0000E80D0000}"/>
    <cellStyle name="Normal 4 21 4" xfId="2160" xr:uid="{00000000-0005-0000-0000-0000E90D0000}"/>
    <cellStyle name="Normal 4 22" xfId="2161" xr:uid="{00000000-0005-0000-0000-0000EA0D0000}"/>
    <cellStyle name="Normal 4 23" xfId="2162" xr:uid="{00000000-0005-0000-0000-0000EB0D0000}"/>
    <cellStyle name="Normal 4 24" xfId="2163" xr:uid="{00000000-0005-0000-0000-0000EC0D0000}"/>
    <cellStyle name="Normal 4 3" xfId="2164" xr:uid="{00000000-0005-0000-0000-0000ED0D0000}"/>
    <cellStyle name="Normal 4 3 2" xfId="2165" xr:uid="{00000000-0005-0000-0000-0000EE0D0000}"/>
    <cellStyle name="Normal 4 3 3" xfId="2166" xr:uid="{00000000-0005-0000-0000-0000EF0D0000}"/>
    <cellStyle name="Normal 4 3 4" xfId="2167" xr:uid="{00000000-0005-0000-0000-0000F00D0000}"/>
    <cellStyle name="Normal 4 4" xfId="2168" xr:uid="{00000000-0005-0000-0000-0000F10D0000}"/>
    <cellStyle name="Normal 4 4 2" xfId="2169" xr:uid="{00000000-0005-0000-0000-0000F20D0000}"/>
    <cellStyle name="Normal 4 4 3" xfId="2170" xr:uid="{00000000-0005-0000-0000-0000F30D0000}"/>
    <cellStyle name="Normal 4 4 4" xfId="2171" xr:uid="{00000000-0005-0000-0000-0000F40D0000}"/>
    <cellStyle name="Normal 4 5" xfId="2172" xr:uid="{00000000-0005-0000-0000-0000F50D0000}"/>
    <cellStyle name="Normal 4 5 2" xfId="2173" xr:uid="{00000000-0005-0000-0000-0000F60D0000}"/>
    <cellStyle name="Normal 4 5 3" xfId="2174" xr:uid="{00000000-0005-0000-0000-0000F70D0000}"/>
    <cellStyle name="Normal 4 5 4" xfId="2175" xr:uid="{00000000-0005-0000-0000-0000F80D0000}"/>
    <cellStyle name="Normal 4 6" xfId="2176" xr:uid="{00000000-0005-0000-0000-0000F90D0000}"/>
    <cellStyle name="Normal 4 6 2" xfId="2177" xr:uid="{00000000-0005-0000-0000-0000FA0D0000}"/>
    <cellStyle name="Normal 4 6 3" xfId="2178" xr:uid="{00000000-0005-0000-0000-0000FB0D0000}"/>
    <cellStyle name="Normal 4 6 4" xfId="2179" xr:uid="{00000000-0005-0000-0000-0000FC0D0000}"/>
    <cellStyle name="Normal 4 7" xfId="2180" xr:uid="{00000000-0005-0000-0000-0000FD0D0000}"/>
    <cellStyle name="Normal 4 7 2" xfId="2181" xr:uid="{00000000-0005-0000-0000-0000FE0D0000}"/>
    <cellStyle name="Normal 4 7 3" xfId="2182" xr:uid="{00000000-0005-0000-0000-0000FF0D0000}"/>
    <cellStyle name="Normal 4 7 4" xfId="2183" xr:uid="{00000000-0005-0000-0000-0000000E0000}"/>
    <cellStyle name="Normal 4 8" xfId="2184" xr:uid="{00000000-0005-0000-0000-0000010E0000}"/>
    <cellStyle name="Normal 4 8 2" xfId="2185" xr:uid="{00000000-0005-0000-0000-0000020E0000}"/>
    <cellStyle name="Normal 4 8 3" xfId="2186" xr:uid="{00000000-0005-0000-0000-0000030E0000}"/>
    <cellStyle name="Normal 4 8 4" xfId="2187" xr:uid="{00000000-0005-0000-0000-0000040E0000}"/>
    <cellStyle name="Normal 4 9" xfId="2188" xr:uid="{00000000-0005-0000-0000-0000050E0000}"/>
    <cellStyle name="Normal 4 9 2" xfId="2189" xr:uid="{00000000-0005-0000-0000-0000060E0000}"/>
    <cellStyle name="Normal 4 9 3" xfId="2190" xr:uid="{00000000-0005-0000-0000-0000070E0000}"/>
    <cellStyle name="Normal 4 9 4" xfId="2191" xr:uid="{00000000-0005-0000-0000-0000080E0000}"/>
    <cellStyle name="Normal 40" xfId="3996" xr:uid="{00000000-0005-0000-0000-0000090E0000}"/>
    <cellStyle name="Normal 5" xfId="2192" xr:uid="{00000000-0005-0000-0000-00000A0E0000}"/>
    <cellStyle name="Normal 5 10" xfId="2193" xr:uid="{00000000-0005-0000-0000-00000B0E0000}"/>
    <cellStyle name="Normal 5 10 2" xfId="2194" xr:uid="{00000000-0005-0000-0000-00000C0E0000}"/>
    <cellStyle name="Normal 5 10 3" xfId="2195" xr:uid="{00000000-0005-0000-0000-00000D0E0000}"/>
    <cellStyle name="Normal 5 10 4" xfId="2196" xr:uid="{00000000-0005-0000-0000-00000E0E0000}"/>
    <cellStyle name="Normal 5 11" xfId="2197" xr:uid="{00000000-0005-0000-0000-00000F0E0000}"/>
    <cellStyle name="Normal 5 11 2" xfId="2198" xr:uid="{00000000-0005-0000-0000-0000100E0000}"/>
    <cellStyle name="Normal 5 11 3" xfId="2199" xr:uid="{00000000-0005-0000-0000-0000110E0000}"/>
    <cellStyle name="Normal 5 11 4" xfId="2200" xr:uid="{00000000-0005-0000-0000-0000120E0000}"/>
    <cellStyle name="Normal 5 12" xfId="2201" xr:uid="{00000000-0005-0000-0000-0000130E0000}"/>
    <cellStyle name="Normal 5 12 2" xfId="2202" xr:uid="{00000000-0005-0000-0000-0000140E0000}"/>
    <cellStyle name="Normal 5 12 3" xfId="2203" xr:uid="{00000000-0005-0000-0000-0000150E0000}"/>
    <cellStyle name="Normal 5 12 4" xfId="2204" xr:uid="{00000000-0005-0000-0000-0000160E0000}"/>
    <cellStyle name="Normal 5 13" xfId="2205" xr:uid="{00000000-0005-0000-0000-0000170E0000}"/>
    <cellStyle name="Normal 5 13 2" xfId="2206" xr:uid="{00000000-0005-0000-0000-0000180E0000}"/>
    <cellStyle name="Normal 5 13 3" xfId="2207" xr:uid="{00000000-0005-0000-0000-0000190E0000}"/>
    <cellStyle name="Normal 5 13 4" xfId="2208" xr:uid="{00000000-0005-0000-0000-00001A0E0000}"/>
    <cellStyle name="Normal 5 14" xfId="2209" xr:uid="{00000000-0005-0000-0000-00001B0E0000}"/>
    <cellStyle name="Normal 5 14 2" xfId="2210" xr:uid="{00000000-0005-0000-0000-00001C0E0000}"/>
    <cellStyle name="Normal 5 14 3" xfId="2211" xr:uid="{00000000-0005-0000-0000-00001D0E0000}"/>
    <cellStyle name="Normal 5 14 4" xfId="2212" xr:uid="{00000000-0005-0000-0000-00001E0E0000}"/>
    <cellStyle name="Normal 5 15" xfId="2213" xr:uid="{00000000-0005-0000-0000-00001F0E0000}"/>
    <cellStyle name="Normal 5 15 2" xfId="2214" xr:uid="{00000000-0005-0000-0000-0000200E0000}"/>
    <cellStyle name="Normal 5 15 3" xfId="2215" xr:uid="{00000000-0005-0000-0000-0000210E0000}"/>
    <cellStyle name="Normal 5 15 4" xfId="2216" xr:uid="{00000000-0005-0000-0000-0000220E0000}"/>
    <cellStyle name="Normal 5 16" xfId="2217" xr:uid="{00000000-0005-0000-0000-0000230E0000}"/>
    <cellStyle name="Normal 5 16 2" xfId="2218" xr:uid="{00000000-0005-0000-0000-0000240E0000}"/>
    <cellStyle name="Normal 5 16 3" xfId="2219" xr:uid="{00000000-0005-0000-0000-0000250E0000}"/>
    <cellStyle name="Normal 5 16 4" xfId="2220" xr:uid="{00000000-0005-0000-0000-0000260E0000}"/>
    <cellStyle name="Normal 5 17" xfId="2221" xr:uid="{00000000-0005-0000-0000-0000270E0000}"/>
    <cellStyle name="Normal 5 17 2" xfId="2222" xr:uid="{00000000-0005-0000-0000-0000280E0000}"/>
    <cellStyle name="Normal 5 17 3" xfId="2223" xr:uid="{00000000-0005-0000-0000-0000290E0000}"/>
    <cellStyle name="Normal 5 17 4" xfId="2224" xr:uid="{00000000-0005-0000-0000-00002A0E0000}"/>
    <cellStyle name="Normal 5 18" xfId="2225" xr:uid="{00000000-0005-0000-0000-00002B0E0000}"/>
    <cellStyle name="Normal 5 18 2" xfId="2226" xr:uid="{00000000-0005-0000-0000-00002C0E0000}"/>
    <cellStyle name="Normal 5 18 3" xfId="2227" xr:uid="{00000000-0005-0000-0000-00002D0E0000}"/>
    <cellStyle name="Normal 5 18 4" xfId="2228" xr:uid="{00000000-0005-0000-0000-00002E0E0000}"/>
    <cellStyle name="Normal 5 19" xfId="2229" xr:uid="{00000000-0005-0000-0000-00002F0E0000}"/>
    <cellStyle name="Normal 5 19 2" xfId="2230" xr:uid="{00000000-0005-0000-0000-0000300E0000}"/>
    <cellStyle name="Normal 5 19 3" xfId="2231" xr:uid="{00000000-0005-0000-0000-0000310E0000}"/>
    <cellStyle name="Normal 5 19 4" xfId="2232" xr:uid="{00000000-0005-0000-0000-0000320E0000}"/>
    <cellStyle name="Normal 5 2" xfId="2233" xr:uid="{00000000-0005-0000-0000-0000330E0000}"/>
    <cellStyle name="Normal 5 2 2" xfId="2234" xr:uid="{00000000-0005-0000-0000-0000340E0000}"/>
    <cellStyle name="Normal 5 2 3" xfId="2235" xr:uid="{00000000-0005-0000-0000-0000350E0000}"/>
    <cellStyle name="Normal 5 2 4" xfId="2236" xr:uid="{00000000-0005-0000-0000-0000360E0000}"/>
    <cellStyle name="Normal 5 20" xfId="2237" xr:uid="{00000000-0005-0000-0000-0000370E0000}"/>
    <cellStyle name="Normal 5 20 2" xfId="2238" xr:uid="{00000000-0005-0000-0000-0000380E0000}"/>
    <cellStyle name="Normal 5 20 3" xfId="2239" xr:uid="{00000000-0005-0000-0000-0000390E0000}"/>
    <cellStyle name="Normal 5 20 4" xfId="2240" xr:uid="{00000000-0005-0000-0000-00003A0E0000}"/>
    <cellStyle name="Normal 5 21" xfId="2241" xr:uid="{00000000-0005-0000-0000-00003B0E0000}"/>
    <cellStyle name="Normal 5 21 2" xfId="2242" xr:uid="{00000000-0005-0000-0000-00003C0E0000}"/>
    <cellStyle name="Normal 5 21 3" xfId="2243" xr:uid="{00000000-0005-0000-0000-00003D0E0000}"/>
    <cellStyle name="Normal 5 21 4" xfId="2244" xr:uid="{00000000-0005-0000-0000-00003E0E0000}"/>
    <cellStyle name="Normal 5 22" xfId="2245" xr:uid="{00000000-0005-0000-0000-00003F0E0000}"/>
    <cellStyle name="Normal 5 23" xfId="2246" xr:uid="{00000000-0005-0000-0000-0000400E0000}"/>
    <cellStyle name="Normal 5 24" xfId="2247" xr:uid="{00000000-0005-0000-0000-0000410E0000}"/>
    <cellStyle name="Normal 5 25" xfId="2648" xr:uid="{00000000-0005-0000-0000-0000420E0000}"/>
    <cellStyle name="Normal 5 3" xfId="2248" xr:uid="{00000000-0005-0000-0000-0000430E0000}"/>
    <cellStyle name="Normal 5 3 2" xfId="2249" xr:uid="{00000000-0005-0000-0000-0000440E0000}"/>
    <cellStyle name="Normal 5 3 3" xfId="2250" xr:uid="{00000000-0005-0000-0000-0000450E0000}"/>
    <cellStyle name="Normal 5 3 4" xfId="2251" xr:uid="{00000000-0005-0000-0000-0000460E0000}"/>
    <cellStyle name="Normal 5 4" xfId="2252" xr:uid="{00000000-0005-0000-0000-0000470E0000}"/>
    <cellStyle name="Normal 5 4 2" xfId="2253" xr:uid="{00000000-0005-0000-0000-0000480E0000}"/>
    <cellStyle name="Normal 5 4 3" xfId="2254" xr:uid="{00000000-0005-0000-0000-0000490E0000}"/>
    <cellStyle name="Normal 5 4 4" xfId="2255" xr:uid="{00000000-0005-0000-0000-00004A0E0000}"/>
    <cellStyle name="Normal 5 5" xfId="2256" xr:uid="{00000000-0005-0000-0000-00004B0E0000}"/>
    <cellStyle name="Normal 5 5 2" xfId="2257" xr:uid="{00000000-0005-0000-0000-00004C0E0000}"/>
    <cellStyle name="Normal 5 5 3" xfId="2258" xr:uid="{00000000-0005-0000-0000-00004D0E0000}"/>
    <cellStyle name="Normal 5 5 4" xfId="2259" xr:uid="{00000000-0005-0000-0000-00004E0E0000}"/>
    <cellStyle name="Normal 5 6" xfId="2260" xr:uid="{00000000-0005-0000-0000-00004F0E0000}"/>
    <cellStyle name="Normal 5 6 2" xfId="2261" xr:uid="{00000000-0005-0000-0000-0000500E0000}"/>
    <cellStyle name="Normal 5 6 3" xfId="2262" xr:uid="{00000000-0005-0000-0000-0000510E0000}"/>
    <cellStyle name="Normal 5 6 4" xfId="2263" xr:uid="{00000000-0005-0000-0000-0000520E0000}"/>
    <cellStyle name="Normal 5 7" xfId="2264" xr:uid="{00000000-0005-0000-0000-0000530E0000}"/>
    <cellStyle name="Normal 5 7 2" xfId="2265" xr:uid="{00000000-0005-0000-0000-0000540E0000}"/>
    <cellStyle name="Normal 5 7 3" xfId="2266" xr:uid="{00000000-0005-0000-0000-0000550E0000}"/>
    <cellStyle name="Normal 5 7 4" xfId="2267" xr:uid="{00000000-0005-0000-0000-0000560E0000}"/>
    <cellStyle name="Normal 5 8" xfId="2268" xr:uid="{00000000-0005-0000-0000-0000570E0000}"/>
    <cellStyle name="Normal 5 8 2" xfId="2269" xr:uid="{00000000-0005-0000-0000-0000580E0000}"/>
    <cellStyle name="Normal 5 8 3" xfId="2270" xr:uid="{00000000-0005-0000-0000-0000590E0000}"/>
    <cellStyle name="Normal 5 8 4" xfId="2271" xr:uid="{00000000-0005-0000-0000-00005A0E0000}"/>
    <cellStyle name="Normal 5 9" xfId="2272" xr:uid="{00000000-0005-0000-0000-00005B0E0000}"/>
    <cellStyle name="Normal 5 9 2" xfId="2273" xr:uid="{00000000-0005-0000-0000-00005C0E0000}"/>
    <cellStyle name="Normal 5 9 3" xfId="2274" xr:uid="{00000000-0005-0000-0000-00005D0E0000}"/>
    <cellStyle name="Normal 5 9 4" xfId="2275" xr:uid="{00000000-0005-0000-0000-00005E0E0000}"/>
    <cellStyle name="Normal 6" xfId="2276" xr:uid="{00000000-0005-0000-0000-00005F0E0000}"/>
    <cellStyle name="Normal 6 10" xfId="2277" xr:uid="{00000000-0005-0000-0000-0000600E0000}"/>
    <cellStyle name="Normal 6 10 2" xfId="2278" xr:uid="{00000000-0005-0000-0000-0000610E0000}"/>
    <cellStyle name="Normal 6 10 3" xfId="2279" xr:uid="{00000000-0005-0000-0000-0000620E0000}"/>
    <cellStyle name="Normal 6 10 4" xfId="2280" xr:uid="{00000000-0005-0000-0000-0000630E0000}"/>
    <cellStyle name="Normal 6 11" xfId="2281" xr:uid="{00000000-0005-0000-0000-0000640E0000}"/>
    <cellStyle name="Normal 6 11 2" xfId="2282" xr:uid="{00000000-0005-0000-0000-0000650E0000}"/>
    <cellStyle name="Normal 6 11 3" xfId="2283" xr:uid="{00000000-0005-0000-0000-0000660E0000}"/>
    <cellStyle name="Normal 6 11 4" xfId="2284" xr:uid="{00000000-0005-0000-0000-0000670E0000}"/>
    <cellStyle name="Normal 6 12" xfId="2285" xr:uid="{00000000-0005-0000-0000-0000680E0000}"/>
    <cellStyle name="Normal 6 12 2" xfId="2286" xr:uid="{00000000-0005-0000-0000-0000690E0000}"/>
    <cellStyle name="Normal 6 12 3" xfId="2287" xr:uid="{00000000-0005-0000-0000-00006A0E0000}"/>
    <cellStyle name="Normal 6 12 4" xfId="2288" xr:uid="{00000000-0005-0000-0000-00006B0E0000}"/>
    <cellStyle name="Normal 6 13" xfId="2289" xr:uid="{00000000-0005-0000-0000-00006C0E0000}"/>
    <cellStyle name="Normal 6 13 2" xfId="2290" xr:uid="{00000000-0005-0000-0000-00006D0E0000}"/>
    <cellStyle name="Normal 6 13 3" xfId="2291" xr:uid="{00000000-0005-0000-0000-00006E0E0000}"/>
    <cellStyle name="Normal 6 13 4" xfId="2292" xr:uid="{00000000-0005-0000-0000-00006F0E0000}"/>
    <cellStyle name="Normal 6 14" xfId="2293" xr:uid="{00000000-0005-0000-0000-0000700E0000}"/>
    <cellStyle name="Normal 6 14 2" xfId="2294" xr:uid="{00000000-0005-0000-0000-0000710E0000}"/>
    <cellStyle name="Normal 6 14 3" xfId="2295" xr:uid="{00000000-0005-0000-0000-0000720E0000}"/>
    <cellStyle name="Normal 6 14 4" xfId="2296" xr:uid="{00000000-0005-0000-0000-0000730E0000}"/>
    <cellStyle name="Normal 6 15" xfId="2297" xr:uid="{00000000-0005-0000-0000-0000740E0000}"/>
    <cellStyle name="Normal 6 15 2" xfId="2298" xr:uid="{00000000-0005-0000-0000-0000750E0000}"/>
    <cellStyle name="Normal 6 15 3" xfId="2299" xr:uid="{00000000-0005-0000-0000-0000760E0000}"/>
    <cellStyle name="Normal 6 15 4" xfId="2300" xr:uid="{00000000-0005-0000-0000-0000770E0000}"/>
    <cellStyle name="Normal 6 16" xfId="2301" xr:uid="{00000000-0005-0000-0000-0000780E0000}"/>
    <cellStyle name="Normal 6 16 2" xfId="2302" xr:uid="{00000000-0005-0000-0000-0000790E0000}"/>
    <cellStyle name="Normal 6 16 3" xfId="2303" xr:uid="{00000000-0005-0000-0000-00007A0E0000}"/>
    <cellStyle name="Normal 6 16 4" xfId="2304" xr:uid="{00000000-0005-0000-0000-00007B0E0000}"/>
    <cellStyle name="Normal 6 17" xfId="2305" xr:uid="{00000000-0005-0000-0000-00007C0E0000}"/>
    <cellStyle name="Normal 6 17 2" xfId="2306" xr:uid="{00000000-0005-0000-0000-00007D0E0000}"/>
    <cellStyle name="Normal 6 17 3" xfId="2307" xr:uid="{00000000-0005-0000-0000-00007E0E0000}"/>
    <cellStyle name="Normal 6 17 4" xfId="2308" xr:uid="{00000000-0005-0000-0000-00007F0E0000}"/>
    <cellStyle name="Normal 6 18" xfId="2309" xr:uid="{00000000-0005-0000-0000-0000800E0000}"/>
    <cellStyle name="Normal 6 18 2" xfId="2310" xr:uid="{00000000-0005-0000-0000-0000810E0000}"/>
    <cellStyle name="Normal 6 18 3" xfId="2311" xr:uid="{00000000-0005-0000-0000-0000820E0000}"/>
    <cellStyle name="Normal 6 18 4" xfId="2312" xr:uid="{00000000-0005-0000-0000-0000830E0000}"/>
    <cellStyle name="Normal 6 19" xfId="2313" xr:uid="{00000000-0005-0000-0000-0000840E0000}"/>
    <cellStyle name="Normal 6 19 2" xfId="2314" xr:uid="{00000000-0005-0000-0000-0000850E0000}"/>
    <cellStyle name="Normal 6 19 3" xfId="2315" xr:uid="{00000000-0005-0000-0000-0000860E0000}"/>
    <cellStyle name="Normal 6 19 4" xfId="2316" xr:uid="{00000000-0005-0000-0000-0000870E0000}"/>
    <cellStyle name="Normal 6 2" xfId="2317" xr:uid="{00000000-0005-0000-0000-0000880E0000}"/>
    <cellStyle name="Normal 6 2 2" xfId="2318" xr:uid="{00000000-0005-0000-0000-0000890E0000}"/>
    <cellStyle name="Normal 6 2 3" xfId="2319" xr:uid="{00000000-0005-0000-0000-00008A0E0000}"/>
    <cellStyle name="Normal 6 2 4" xfId="2320" xr:uid="{00000000-0005-0000-0000-00008B0E0000}"/>
    <cellStyle name="Normal 6 20" xfId="2321" xr:uid="{00000000-0005-0000-0000-00008C0E0000}"/>
    <cellStyle name="Normal 6 20 2" xfId="2322" xr:uid="{00000000-0005-0000-0000-00008D0E0000}"/>
    <cellStyle name="Normal 6 20 3" xfId="2323" xr:uid="{00000000-0005-0000-0000-00008E0E0000}"/>
    <cellStyle name="Normal 6 20 4" xfId="2324" xr:uid="{00000000-0005-0000-0000-00008F0E0000}"/>
    <cellStyle name="Normal 6 21" xfId="2325" xr:uid="{00000000-0005-0000-0000-0000900E0000}"/>
    <cellStyle name="Normal 6 21 2" xfId="2326" xr:uid="{00000000-0005-0000-0000-0000910E0000}"/>
    <cellStyle name="Normal 6 21 3" xfId="2327" xr:uid="{00000000-0005-0000-0000-0000920E0000}"/>
    <cellStyle name="Normal 6 21 4" xfId="2328" xr:uid="{00000000-0005-0000-0000-0000930E0000}"/>
    <cellStyle name="Normal 6 22" xfId="2329" xr:uid="{00000000-0005-0000-0000-0000940E0000}"/>
    <cellStyle name="Normal 6 23" xfId="2330" xr:uid="{00000000-0005-0000-0000-0000950E0000}"/>
    <cellStyle name="Normal 6 24" xfId="2331" xr:uid="{00000000-0005-0000-0000-0000960E0000}"/>
    <cellStyle name="Normal 6 3" xfId="2332" xr:uid="{00000000-0005-0000-0000-0000970E0000}"/>
    <cellStyle name="Normal 6 3 2" xfId="2333" xr:uid="{00000000-0005-0000-0000-0000980E0000}"/>
    <cellStyle name="Normal 6 3 3" xfId="2334" xr:uid="{00000000-0005-0000-0000-0000990E0000}"/>
    <cellStyle name="Normal 6 3 4" xfId="2335" xr:uid="{00000000-0005-0000-0000-00009A0E0000}"/>
    <cellStyle name="Normal 6 4" xfId="2336" xr:uid="{00000000-0005-0000-0000-00009B0E0000}"/>
    <cellStyle name="Normal 6 4 2" xfId="2337" xr:uid="{00000000-0005-0000-0000-00009C0E0000}"/>
    <cellStyle name="Normal 6 4 3" xfId="2338" xr:uid="{00000000-0005-0000-0000-00009D0E0000}"/>
    <cellStyle name="Normal 6 4 4" xfId="2339" xr:uid="{00000000-0005-0000-0000-00009E0E0000}"/>
    <cellStyle name="Normal 6 5" xfId="2340" xr:uid="{00000000-0005-0000-0000-00009F0E0000}"/>
    <cellStyle name="Normal 6 5 2" xfId="2341" xr:uid="{00000000-0005-0000-0000-0000A00E0000}"/>
    <cellStyle name="Normal 6 5 3" xfId="2342" xr:uid="{00000000-0005-0000-0000-0000A10E0000}"/>
    <cellStyle name="Normal 6 5 4" xfId="2343" xr:uid="{00000000-0005-0000-0000-0000A20E0000}"/>
    <cellStyle name="Normal 6 6" xfId="2344" xr:uid="{00000000-0005-0000-0000-0000A30E0000}"/>
    <cellStyle name="Normal 6 6 2" xfId="2345" xr:uid="{00000000-0005-0000-0000-0000A40E0000}"/>
    <cellStyle name="Normal 6 6 3" xfId="2346" xr:uid="{00000000-0005-0000-0000-0000A50E0000}"/>
    <cellStyle name="Normal 6 6 4" xfId="2347" xr:uid="{00000000-0005-0000-0000-0000A60E0000}"/>
    <cellStyle name="Normal 6 7" xfId="2348" xr:uid="{00000000-0005-0000-0000-0000A70E0000}"/>
    <cellStyle name="Normal 6 7 2" xfId="2349" xr:uid="{00000000-0005-0000-0000-0000A80E0000}"/>
    <cellStyle name="Normal 6 7 3" xfId="2350" xr:uid="{00000000-0005-0000-0000-0000A90E0000}"/>
    <cellStyle name="Normal 6 7 4" xfId="2351" xr:uid="{00000000-0005-0000-0000-0000AA0E0000}"/>
    <cellStyle name="Normal 6 8" xfId="2352" xr:uid="{00000000-0005-0000-0000-0000AB0E0000}"/>
    <cellStyle name="Normal 6 8 2" xfId="2353" xr:uid="{00000000-0005-0000-0000-0000AC0E0000}"/>
    <cellStyle name="Normal 6 8 3" xfId="2354" xr:uid="{00000000-0005-0000-0000-0000AD0E0000}"/>
    <cellStyle name="Normal 6 8 4" xfId="2355" xr:uid="{00000000-0005-0000-0000-0000AE0E0000}"/>
    <cellStyle name="Normal 6 9" xfId="2356" xr:uid="{00000000-0005-0000-0000-0000AF0E0000}"/>
    <cellStyle name="Normal 6 9 2" xfId="2357" xr:uid="{00000000-0005-0000-0000-0000B00E0000}"/>
    <cellStyle name="Normal 6 9 3" xfId="2358" xr:uid="{00000000-0005-0000-0000-0000B10E0000}"/>
    <cellStyle name="Normal 6 9 4" xfId="2359" xr:uid="{00000000-0005-0000-0000-0000B20E0000}"/>
    <cellStyle name="Normal 7" xfId="2360" xr:uid="{00000000-0005-0000-0000-0000B30E0000}"/>
    <cellStyle name="Normal 7 10" xfId="2361" xr:uid="{00000000-0005-0000-0000-0000B40E0000}"/>
    <cellStyle name="Normal 7 10 2" xfId="2362" xr:uid="{00000000-0005-0000-0000-0000B50E0000}"/>
    <cellStyle name="Normal 7 10 3" xfId="2363" xr:uid="{00000000-0005-0000-0000-0000B60E0000}"/>
    <cellStyle name="Normal 7 10 4" xfId="2364" xr:uid="{00000000-0005-0000-0000-0000B70E0000}"/>
    <cellStyle name="Normal 7 11" xfId="2365" xr:uid="{00000000-0005-0000-0000-0000B80E0000}"/>
    <cellStyle name="Normal 7 11 2" xfId="2366" xr:uid="{00000000-0005-0000-0000-0000B90E0000}"/>
    <cellStyle name="Normal 7 11 3" xfId="2367" xr:uid="{00000000-0005-0000-0000-0000BA0E0000}"/>
    <cellStyle name="Normal 7 11 4" xfId="2368" xr:uid="{00000000-0005-0000-0000-0000BB0E0000}"/>
    <cellStyle name="Normal 7 12" xfId="2369" xr:uid="{00000000-0005-0000-0000-0000BC0E0000}"/>
    <cellStyle name="Normal 7 12 2" xfId="2370" xr:uid="{00000000-0005-0000-0000-0000BD0E0000}"/>
    <cellStyle name="Normal 7 12 3" xfId="2371" xr:uid="{00000000-0005-0000-0000-0000BE0E0000}"/>
    <cellStyle name="Normal 7 12 4" xfId="2372" xr:uid="{00000000-0005-0000-0000-0000BF0E0000}"/>
    <cellStyle name="Normal 7 13" xfId="2373" xr:uid="{00000000-0005-0000-0000-0000C00E0000}"/>
    <cellStyle name="Normal 7 13 2" xfId="2374" xr:uid="{00000000-0005-0000-0000-0000C10E0000}"/>
    <cellStyle name="Normal 7 13 3" xfId="2375" xr:uid="{00000000-0005-0000-0000-0000C20E0000}"/>
    <cellStyle name="Normal 7 13 4" xfId="2376" xr:uid="{00000000-0005-0000-0000-0000C30E0000}"/>
    <cellStyle name="Normal 7 14" xfId="2377" xr:uid="{00000000-0005-0000-0000-0000C40E0000}"/>
    <cellStyle name="Normal 7 14 2" xfId="2378" xr:uid="{00000000-0005-0000-0000-0000C50E0000}"/>
    <cellStyle name="Normal 7 14 3" xfId="2379" xr:uid="{00000000-0005-0000-0000-0000C60E0000}"/>
    <cellStyle name="Normal 7 14 4" xfId="2380" xr:uid="{00000000-0005-0000-0000-0000C70E0000}"/>
    <cellStyle name="Normal 7 15" xfId="2381" xr:uid="{00000000-0005-0000-0000-0000C80E0000}"/>
    <cellStyle name="Normal 7 15 2" xfId="2382" xr:uid="{00000000-0005-0000-0000-0000C90E0000}"/>
    <cellStyle name="Normal 7 15 3" xfId="2383" xr:uid="{00000000-0005-0000-0000-0000CA0E0000}"/>
    <cellStyle name="Normal 7 15 4" xfId="2384" xr:uid="{00000000-0005-0000-0000-0000CB0E0000}"/>
    <cellStyle name="Normal 7 16" xfId="2385" xr:uid="{00000000-0005-0000-0000-0000CC0E0000}"/>
    <cellStyle name="Normal 7 16 2" xfId="2386" xr:uid="{00000000-0005-0000-0000-0000CD0E0000}"/>
    <cellStyle name="Normal 7 16 3" xfId="2387" xr:uid="{00000000-0005-0000-0000-0000CE0E0000}"/>
    <cellStyle name="Normal 7 16 4" xfId="2388" xr:uid="{00000000-0005-0000-0000-0000CF0E0000}"/>
    <cellStyle name="Normal 7 17" xfId="2389" xr:uid="{00000000-0005-0000-0000-0000D00E0000}"/>
    <cellStyle name="Normal 7 17 2" xfId="2390" xr:uid="{00000000-0005-0000-0000-0000D10E0000}"/>
    <cellStyle name="Normal 7 17 3" xfId="2391" xr:uid="{00000000-0005-0000-0000-0000D20E0000}"/>
    <cellStyle name="Normal 7 17 4" xfId="2392" xr:uid="{00000000-0005-0000-0000-0000D30E0000}"/>
    <cellStyle name="Normal 7 18" xfId="2393" xr:uid="{00000000-0005-0000-0000-0000D40E0000}"/>
    <cellStyle name="Normal 7 18 2" xfId="2394" xr:uid="{00000000-0005-0000-0000-0000D50E0000}"/>
    <cellStyle name="Normal 7 18 3" xfId="2395" xr:uid="{00000000-0005-0000-0000-0000D60E0000}"/>
    <cellStyle name="Normal 7 18 4" xfId="2396" xr:uid="{00000000-0005-0000-0000-0000D70E0000}"/>
    <cellStyle name="Normal 7 19" xfId="2397" xr:uid="{00000000-0005-0000-0000-0000D80E0000}"/>
    <cellStyle name="Normal 7 19 2" xfId="2398" xr:uid="{00000000-0005-0000-0000-0000D90E0000}"/>
    <cellStyle name="Normal 7 19 3" xfId="2399" xr:uid="{00000000-0005-0000-0000-0000DA0E0000}"/>
    <cellStyle name="Normal 7 19 4" xfId="2400" xr:uid="{00000000-0005-0000-0000-0000DB0E0000}"/>
    <cellStyle name="Normal 7 2" xfId="2401" xr:uid="{00000000-0005-0000-0000-0000DC0E0000}"/>
    <cellStyle name="Normal 7 2 2" xfId="2402" xr:uid="{00000000-0005-0000-0000-0000DD0E0000}"/>
    <cellStyle name="Normal 7 2 3" xfId="2403" xr:uid="{00000000-0005-0000-0000-0000DE0E0000}"/>
    <cellStyle name="Normal 7 2 4" xfId="2404" xr:uid="{00000000-0005-0000-0000-0000DF0E0000}"/>
    <cellStyle name="Normal 7 20" xfId="2405" xr:uid="{00000000-0005-0000-0000-0000E00E0000}"/>
    <cellStyle name="Normal 7 20 2" xfId="2406" xr:uid="{00000000-0005-0000-0000-0000E10E0000}"/>
    <cellStyle name="Normal 7 20 3" xfId="2407" xr:uid="{00000000-0005-0000-0000-0000E20E0000}"/>
    <cellStyle name="Normal 7 20 4" xfId="2408" xr:uid="{00000000-0005-0000-0000-0000E30E0000}"/>
    <cellStyle name="Normal 7 21" xfId="2409" xr:uid="{00000000-0005-0000-0000-0000E40E0000}"/>
    <cellStyle name="Normal 7 21 2" xfId="2410" xr:uid="{00000000-0005-0000-0000-0000E50E0000}"/>
    <cellStyle name="Normal 7 21 3" xfId="2411" xr:uid="{00000000-0005-0000-0000-0000E60E0000}"/>
    <cellStyle name="Normal 7 21 4" xfId="2412" xr:uid="{00000000-0005-0000-0000-0000E70E0000}"/>
    <cellStyle name="Normal 7 22" xfId="2413" xr:uid="{00000000-0005-0000-0000-0000E80E0000}"/>
    <cellStyle name="Normal 7 23" xfId="2414" xr:uid="{00000000-0005-0000-0000-0000E90E0000}"/>
    <cellStyle name="Normal 7 24" xfId="2415" xr:uid="{00000000-0005-0000-0000-0000EA0E0000}"/>
    <cellStyle name="Normal 7 3" xfId="2416" xr:uid="{00000000-0005-0000-0000-0000EB0E0000}"/>
    <cellStyle name="Normal 7 3 2" xfId="2417" xr:uid="{00000000-0005-0000-0000-0000EC0E0000}"/>
    <cellStyle name="Normal 7 3 3" xfId="2418" xr:uid="{00000000-0005-0000-0000-0000ED0E0000}"/>
    <cellStyle name="Normal 7 3 4" xfId="2419" xr:uid="{00000000-0005-0000-0000-0000EE0E0000}"/>
    <cellStyle name="Normal 7 4" xfId="2420" xr:uid="{00000000-0005-0000-0000-0000EF0E0000}"/>
    <cellStyle name="Normal 7 4 2" xfId="2421" xr:uid="{00000000-0005-0000-0000-0000F00E0000}"/>
    <cellStyle name="Normal 7 4 3" xfId="2422" xr:uid="{00000000-0005-0000-0000-0000F10E0000}"/>
    <cellStyle name="Normal 7 4 4" xfId="2423" xr:uid="{00000000-0005-0000-0000-0000F20E0000}"/>
    <cellStyle name="Normal 7 5" xfId="2424" xr:uid="{00000000-0005-0000-0000-0000F30E0000}"/>
    <cellStyle name="Normal 7 5 2" xfId="2425" xr:uid="{00000000-0005-0000-0000-0000F40E0000}"/>
    <cellStyle name="Normal 7 5 3" xfId="2426" xr:uid="{00000000-0005-0000-0000-0000F50E0000}"/>
    <cellStyle name="Normal 7 5 4" xfId="2427" xr:uid="{00000000-0005-0000-0000-0000F60E0000}"/>
    <cellStyle name="Normal 7 6" xfId="2428" xr:uid="{00000000-0005-0000-0000-0000F70E0000}"/>
    <cellStyle name="Normal 7 6 2" xfId="2429" xr:uid="{00000000-0005-0000-0000-0000F80E0000}"/>
    <cellStyle name="Normal 7 6 3" xfId="2430" xr:uid="{00000000-0005-0000-0000-0000F90E0000}"/>
    <cellStyle name="Normal 7 6 4" xfId="2431" xr:uid="{00000000-0005-0000-0000-0000FA0E0000}"/>
    <cellStyle name="Normal 7 7" xfId="2432" xr:uid="{00000000-0005-0000-0000-0000FB0E0000}"/>
    <cellStyle name="Normal 7 7 2" xfId="2433" xr:uid="{00000000-0005-0000-0000-0000FC0E0000}"/>
    <cellStyle name="Normal 7 7 3" xfId="2434" xr:uid="{00000000-0005-0000-0000-0000FD0E0000}"/>
    <cellStyle name="Normal 7 7 4" xfId="2435" xr:uid="{00000000-0005-0000-0000-0000FE0E0000}"/>
    <cellStyle name="Normal 7 8" xfId="2436" xr:uid="{00000000-0005-0000-0000-0000FF0E0000}"/>
    <cellStyle name="Normal 7 8 2" xfId="2437" xr:uid="{00000000-0005-0000-0000-0000000F0000}"/>
    <cellStyle name="Normal 7 8 3" xfId="2438" xr:uid="{00000000-0005-0000-0000-0000010F0000}"/>
    <cellStyle name="Normal 7 8 4" xfId="2439" xr:uid="{00000000-0005-0000-0000-0000020F0000}"/>
    <cellStyle name="Normal 7 9" xfId="2440" xr:uid="{00000000-0005-0000-0000-0000030F0000}"/>
    <cellStyle name="Normal 7 9 2" xfId="2441" xr:uid="{00000000-0005-0000-0000-0000040F0000}"/>
    <cellStyle name="Normal 7 9 3" xfId="2442" xr:uid="{00000000-0005-0000-0000-0000050F0000}"/>
    <cellStyle name="Normal 7 9 4" xfId="2443" xr:uid="{00000000-0005-0000-0000-0000060F0000}"/>
    <cellStyle name="Normal 8" xfId="2444" xr:uid="{00000000-0005-0000-0000-0000070F0000}"/>
    <cellStyle name="Normal 8 10" xfId="2445" xr:uid="{00000000-0005-0000-0000-0000080F0000}"/>
    <cellStyle name="Normal 8 10 2" xfId="2446" xr:uid="{00000000-0005-0000-0000-0000090F0000}"/>
    <cellStyle name="Normal 8 10 3" xfId="2447" xr:uid="{00000000-0005-0000-0000-00000A0F0000}"/>
    <cellStyle name="Normal 8 10 4" xfId="2448" xr:uid="{00000000-0005-0000-0000-00000B0F0000}"/>
    <cellStyle name="Normal 8 11" xfId="2449" xr:uid="{00000000-0005-0000-0000-00000C0F0000}"/>
    <cellStyle name="Normal 8 11 2" xfId="2450" xr:uid="{00000000-0005-0000-0000-00000D0F0000}"/>
    <cellStyle name="Normal 8 11 3" xfId="2451" xr:uid="{00000000-0005-0000-0000-00000E0F0000}"/>
    <cellStyle name="Normal 8 11 4" xfId="2452" xr:uid="{00000000-0005-0000-0000-00000F0F0000}"/>
    <cellStyle name="Normal 8 12" xfId="2453" xr:uid="{00000000-0005-0000-0000-0000100F0000}"/>
    <cellStyle name="Normal 8 12 2" xfId="2454" xr:uid="{00000000-0005-0000-0000-0000110F0000}"/>
    <cellStyle name="Normal 8 12 3" xfId="2455" xr:uid="{00000000-0005-0000-0000-0000120F0000}"/>
    <cellStyle name="Normal 8 12 4" xfId="2456" xr:uid="{00000000-0005-0000-0000-0000130F0000}"/>
    <cellStyle name="Normal 8 13" xfId="2457" xr:uid="{00000000-0005-0000-0000-0000140F0000}"/>
    <cellStyle name="Normal 8 13 2" xfId="2458" xr:uid="{00000000-0005-0000-0000-0000150F0000}"/>
    <cellStyle name="Normal 8 13 3" xfId="2459" xr:uid="{00000000-0005-0000-0000-0000160F0000}"/>
    <cellStyle name="Normal 8 13 4" xfId="2460" xr:uid="{00000000-0005-0000-0000-0000170F0000}"/>
    <cellStyle name="Normal 8 14" xfId="2461" xr:uid="{00000000-0005-0000-0000-0000180F0000}"/>
    <cellStyle name="Normal 8 14 2" xfId="2462" xr:uid="{00000000-0005-0000-0000-0000190F0000}"/>
    <cellStyle name="Normal 8 14 3" xfId="2463" xr:uid="{00000000-0005-0000-0000-00001A0F0000}"/>
    <cellStyle name="Normal 8 14 4" xfId="2464" xr:uid="{00000000-0005-0000-0000-00001B0F0000}"/>
    <cellStyle name="Normal 8 15" xfId="2465" xr:uid="{00000000-0005-0000-0000-00001C0F0000}"/>
    <cellStyle name="Normal 8 15 2" xfId="2466" xr:uid="{00000000-0005-0000-0000-00001D0F0000}"/>
    <cellStyle name="Normal 8 15 3" xfId="2467" xr:uid="{00000000-0005-0000-0000-00001E0F0000}"/>
    <cellStyle name="Normal 8 15 4" xfId="2468" xr:uid="{00000000-0005-0000-0000-00001F0F0000}"/>
    <cellStyle name="Normal 8 16" xfId="2469" xr:uid="{00000000-0005-0000-0000-0000200F0000}"/>
    <cellStyle name="Normal 8 16 2" xfId="2470" xr:uid="{00000000-0005-0000-0000-0000210F0000}"/>
    <cellStyle name="Normal 8 16 3" xfId="2471" xr:uid="{00000000-0005-0000-0000-0000220F0000}"/>
    <cellStyle name="Normal 8 16 4" xfId="2472" xr:uid="{00000000-0005-0000-0000-0000230F0000}"/>
    <cellStyle name="Normal 8 17" xfId="2473" xr:uid="{00000000-0005-0000-0000-0000240F0000}"/>
    <cellStyle name="Normal 8 17 2" xfId="2474" xr:uid="{00000000-0005-0000-0000-0000250F0000}"/>
    <cellStyle name="Normal 8 17 3" xfId="2475" xr:uid="{00000000-0005-0000-0000-0000260F0000}"/>
    <cellStyle name="Normal 8 17 4" xfId="2476" xr:uid="{00000000-0005-0000-0000-0000270F0000}"/>
    <cellStyle name="Normal 8 18" xfId="2477" xr:uid="{00000000-0005-0000-0000-0000280F0000}"/>
    <cellStyle name="Normal 8 18 2" xfId="2478" xr:uid="{00000000-0005-0000-0000-0000290F0000}"/>
    <cellStyle name="Normal 8 18 3" xfId="2479" xr:uid="{00000000-0005-0000-0000-00002A0F0000}"/>
    <cellStyle name="Normal 8 18 4" xfId="2480" xr:uid="{00000000-0005-0000-0000-00002B0F0000}"/>
    <cellStyle name="Normal 8 19" xfId="2481" xr:uid="{00000000-0005-0000-0000-00002C0F0000}"/>
    <cellStyle name="Normal 8 19 2" xfId="2482" xr:uid="{00000000-0005-0000-0000-00002D0F0000}"/>
    <cellStyle name="Normal 8 19 3" xfId="2483" xr:uid="{00000000-0005-0000-0000-00002E0F0000}"/>
    <cellStyle name="Normal 8 19 4" xfId="2484" xr:uid="{00000000-0005-0000-0000-00002F0F0000}"/>
    <cellStyle name="Normal 8 2" xfId="2485" xr:uid="{00000000-0005-0000-0000-0000300F0000}"/>
    <cellStyle name="Normal 8 2 2" xfId="2486" xr:uid="{00000000-0005-0000-0000-0000310F0000}"/>
    <cellStyle name="Normal 8 2 3" xfId="2487" xr:uid="{00000000-0005-0000-0000-0000320F0000}"/>
    <cellStyle name="Normal 8 2 4" xfId="2488" xr:uid="{00000000-0005-0000-0000-0000330F0000}"/>
    <cellStyle name="Normal 8 20" xfId="2489" xr:uid="{00000000-0005-0000-0000-0000340F0000}"/>
    <cellStyle name="Normal 8 20 2" xfId="2490" xr:uid="{00000000-0005-0000-0000-0000350F0000}"/>
    <cellStyle name="Normal 8 20 3" xfId="2491" xr:uid="{00000000-0005-0000-0000-0000360F0000}"/>
    <cellStyle name="Normal 8 20 4" xfId="2492" xr:uid="{00000000-0005-0000-0000-0000370F0000}"/>
    <cellStyle name="Normal 8 21" xfId="2493" xr:uid="{00000000-0005-0000-0000-0000380F0000}"/>
    <cellStyle name="Normal 8 21 2" xfId="2494" xr:uid="{00000000-0005-0000-0000-0000390F0000}"/>
    <cellStyle name="Normal 8 21 3" xfId="2495" xr:uid="{00000000-0005-0000-0000-00003A0F0000}"/>
    <cellStyle name="Normal 8 21 4" xfId="2496" xr:uid="{00000000-0005-0000-0000-00003B0F0000}"/>
    <cellStyle name="Normal 8 22" xfId="2497" xr:uid="{00000000-0005-0000-0000-00003C0F0000}"/>
    <cellStyle name="Normal 8 23" xfId="2498" xr:uid="{00000000-0005-0000-0000-00003D0F0000}"/>
    <cellStyle name="Normal 8 24" xfId="2499" xr:uid="{00000000-0005-0000-0000-00003E0F0000}"/>
    <cellStyle name="Normal 8 3" xfId="2500" xr:uid="{00000000-0005-0000-0000-00003F0F0000}"/>
    <cellStyle name="Normal 8 3 2" xfId="2501" xr:uid="{00000000-0005-0000-0000-0000400F0000}"/>
    <cellStyle name="Normal 8 3 3" xfId="2502" xr:uid="{00000000-0005-0000-0000-0000410F0000}"/>
    <cellStyle name="Normal 8 3 4" xfId="2503" xr:uid="{00000000-0005-0000-0000-0000420F0000}"/>
    <cellStyle name="Normal 8 4" xfId="2504" xr:uid="{00000000-0005-0000-0000-0000430F0000}"/>
    <cellStyle name="Normal 8 4 2" xfId="2505" xr:uid="{00000000-0005-0000-0000-0000440F0000}"/>
    <cellStyle name="Normal 8 4 3" xfId="2506" xr:uid="{00000000-0005-0000-0000-0000450F0000}"/>
    <cellStyle name="Normal 8 4 4" xfId="2507" xr:uid="{00000000-0005-0000-0000-0000460F0000}"/>
    <cellStyle name="Normal 8 5" xfId="2508" xr:uid="{00000000-0005-0000-0000-0000470F0000}"/>
    <cellStyle name="Normal 8 5 2" xfId="2509" xr:uid="{00000000-0005-0000-0000-0000480F0000}"/>
    <cellStyle name="Normal 8 5 3" xfId="2510" xr:uid="{00000000-0005-0000-0000-0000490F0000}"/>
    <cellStyle name="Normal 8 5 4" xfId="2511" xr:uid="{00000000-0005-0000-0000-00004A0F0000}"/>
    <cellStyle name="Normal 8 6" xfId="2512" xr:uid="{00000000-0005-0000-0000-00004B0F0000}"/>
    <cellStyle name="Normal 8 6 2" xfId="2513" xr:uid="{00000000-0005-0000-0000-00004C0F0000}"/>
    <cellStyle name="Normal 8 6 3" xfId="2514" xr:uid="{00000000-0005-0000-0000-00004D0F0000}"/>
    <cellStyle name="Normal 8 6 4" xfId="2515" xr:uid="{00000000-0005-0000-0000-00004E0F0000}"/>
    <cellStyle name="Normal 8 7" xfId="2516" xr:uid="{00000000-0005-0000-0000-00004F0F0000}"/>
    <cellStyle name="Normal 8 7 2" xfId="2517" xr:uid="{00000000-0005-0000-0000-0000500F0000}"/>
    <cellStyle name="Normal 8 7 3" xfId="2518" xr:uid="{00000000-0005-0000-0000-0000510F0000}"/>
    <cellStyle name="Normal 8 7 4" xfId="2519" xr:uid="{00000000-0005-0000-0000-0000520F0000}"/>
    <cellStyle name="Normal 8 8" xfId="2520" xr:uid="{00000000-0005-0000-0000-0000530F0000}"/>
    <cellStyle name="Normal 8 8 2" xfId="2521" xr:uid="{00000000-0005-0000-0000-0000540F0000}"/>
    <cellStyle name="Normal 8 8 3" xfId="2522" xr:uid="{00000000-0005-0000-0000-0000550F0000}"/>
    <cellStyle name="Normal 8 8 4" xfId="2523" xr:uid="{00000000-0005-0000-0000-0000560F0000}"/>
    <cellStyle name="Normal 8 9" xfId="2524" xr:uid="{00000000-0005-0000-0000-0000570F0000}"/>
    <cellStyle name="Normal 8 9 2" xfId="2525" xr:uid="{00000000-0005-0000-0000-0000580F0000}"/>
    <cellStyle name="Normal 8 9 3" xfId="2526" xr:uid="{00000000-0005-0000-0000-0000590F0000}"/>
    <cellStyle name="Normal 8 9 4" xfId="2527" xr:uid="{00000000-0005-0000-0000-00005A0F0000}"/>
    <cellStyle name="Normal 9" xfId="2528" xr:uid="{00000000-0005-0000-0000-00005B0F0000}"/>
    <cellStyle name="Note 10" xfId="2529" xr:uid="{00000000-0005-0000-0000-00005C0F0000}"/>
    <cellStyle name="Note 10 2" xfId="2530" xr:uid="{00000000-0005-0000-0000-00005D0F0000}"/>
    <cellStyle name="Note 10 3" xfId="2531" xr:uid="{00000000-0005-0000-0000-00005E0F0000}"/>
    <cellStyle name="Note 10 4" xfId="2532" xr:uid="{00000000-0005-0000-0000-00005F0F0000}"/>
    <cellStyle name="Note 11" xfId="2533" xr:uid="{00000000-0005-0000-0000-0000600F0000}"/>
    <cellStyle name="Note 11 2" xfId="2534" xr:uid="{00000000-0005-0000-0000-0000610F0000}"/>
    <cellStyle name="Note 11 3" xfId="2535" xr:uid="{00000000-0005-0000-0000-0000620F0000}"/>
    <cellStyle name="Note 11 4" xfId="2536" xr:uid="{00000000-0005-0000-0000-0000630F0000}"/>
    <cellStyle name="Note 12" xfId="2537" xr:uid="{00000000-0005-0000-0000-0000640F0000}"/>
    <cellStyle name="Note 12 2" xfId="2538" xr:uid="{00000000-0005-0000-0000-0000650F0000}"/>
    <cellStyle name="Note 12 3" xfId="2539" xr:uid="{00000000-0005-0000-0000-0000660F0000}"/>
    <cellStyle name="Note 12 4" xfId="2540" xr:uid="{00000000-0005-0000-0000-0000670F0000}"/>
    <cellStyle name="Note 13" xfId="2541" xr:uid="{00000000-0005-0000-0000-0000680F0000}"/>
    <cellStyle name="Note 13 2" xfId="2542" xr:uid="{00000000-0005-0000-0000-0000690F0000}"/>
    <cellStyle name="Note 13 3" xfId="2543" xr:uid="{00000000-0005-0000-0000-00006A0F0000}"/>
    <cellStyle name="Note 13 4" xfId="2544" xr:uid="{00000000-0005-0000-0000-00006B0F0000}"/>
    <cellStyle name="Note 14" xfId="2545" xr:uid="{00000000-0005-0000-0000-00006C0F0000}"/>
    <cellStyle name="Note 14 2" xfId="2546" xr:uid="{00000000-0005-0000-0000-00006D0F0000}"/>
    <cellStyle name="Note 14 3" xfId="2547" xr:uid="{00000000-0005-0000-0000-00006E0F0000}"/>
    <cellStyle name="Note 14 4" xfId="2548" xr:uid="{00000000-0005-0000-0000-00006F0F0000}"/>
    <cellStyle name="Note 15" xfId="2549" xr:uid="{00000000-0005-0000-0000-0000700F0000}"/>
    <cellStyle name="Note 16" xfId="2550" xr:uid="{00000000-0005-0000-0000-0000710F0000}"/>
    <cellStyle name="Note 17" xfId="2551" xr:uid="{00000000-0005-0000-0000-0000720F0000}"/>
    <cellStyle name="Note 2" xfId="2552" xr:uid="{00000000-0005-0000-0000-0000730F0000}"/>
    <cellStyle name="Note 2 2" xfId="2553" xr:uid="{00000000-0005-0000-0000-0000740F0000}"/>
    <cellStyle name="Note 2 3" xfId="2554" xr:uid="{00000000-0005-0000-0000-0000750F0000}"/>
    <cellStyle name="Note 2 4" xfId="2555" xr:uid="{00000000-0005-0000-0000-0000760F0000}"/>
    <cellStyle name="Note 3" xfId="2556" xr:uid="{00000000-0005-0000-0000-0000770F0000}"/>
    <cellStyle name="Note 3 2" xfId="2557" xr:uid="{00000000-0005-0000-0000-0000780F0000}"/>
    <cellStyle name="Note 3 3" xfId="2558" xr:uid="{00000000-0005-0000-0000-0000790F0000}"/>
    <cellStyle name="Note 3 4" xfId="2559" xr:uid="{00000000-0005-0000-0000-00007A0F0000}"/>
    <cellStyle name="Note 4" xfId="2560" xr:uid="{00000000-0005-0000-0000-00007B0F0000}"/>
    <cellStyle name="Note 4 2" xfId="2561" xr:uid="{00000000-0005-0000-0000-00007C0F0000}"/>
    <cellStyle name="Note 4 3" xfId="2562" xr:uid="{00000000-0005-0000-0000-00007D0F0000}"/>
    <cellStyle name="Note 4 4" xfId="2563" xr:uid="{00000000-0005-0000-0000-00007E0F0000}"/>
    <cellStyle name="Note 5" xfId="2564" xr:uid="{00000000-0005-0000-0000-00007F0F0000}"/>
    <cellStyle name="Note 5 2" xfId="2565" xr:uid="{00000000-0005-0000-0000-0000800F0000}"/>
    <cellStyle name="Note 5 3" xfId="2566" xr:uid="{00000000-0005-0000-0000-0000810F0000}"/>
    <cellStyle name="Note 5 4" xfId="2567" xr:uid="{00000000-0005-0000-0000-0000820F0000}"/>
    <cellStyle name="Note 6" xfId="2568" xr:uid="{00000000-0005-0000-0000-0000830F0000}"/>
    <cellStyle name="Note 6 2" xfId="2569" xr:uid="{00000000-0005-0000-0000-0000840F0000}"/>
    <cellStyle name="Note 6 3" xfId="2570" xr:uid="{00000000-0005-0000-0000-0000850F0000}"/>
    <cellStyle name="Note 6 4" xfId="2571" xr:uid="{00000000-0005-0000-0000-0000860F0000}"/>
    <cellStyle name="Note 7" xfId="2572" xr:uid="{00000000-0005-0000-0000-0000870F0000}"/>
    <cellStyle name="Note 7 2" xfId="2573" xr:uid="{00000000-0005-0000-0000-0000880F0000}"/>
    <cellStyle name="Note 7 3" xfId="2574" xr:uid="{00000000-0005-0000-0000-0000890F0000}"/>
    <cellStyle name="Note 7 4" xfId="2575" xr:uid="{00000000-0005-0000-0000-00008A0F0000}"/>
    <cellStyle name="Note 8" xfId="2576" xr:uid="{00000000-0005-0000-0000-00008B0F0000}"/>
    <cellStyle name="Note 8 2" xfId="2577" xr:uid="{00000000-0005-0000-0000-00008C0F0000}"/>
    <cellStyle name="Note 8 3" xfId="2578" xr:uid="{00000000-0005-0000-0000-00008D0F0000}"/>
    <cellStyle name="Note 8 4" xfId="2579" xr:uid="{00000000-0005-0000-0000-00008E0F0000}"/>
    <cellStyle name="Note 9" xfId="2580" xr:uid="{00000000-0005-0000-0000-00008F0F0000}"/>
    <cellStyle name="Note 9 2" xfId="2581" xr:uid="{00000000-0005-0000-0000-0000900F0000}"/>
    <cellStyle name="Note 9 3" xfId="2582" xr:uid="{00000000-0005-0000-0000-0000910F0000}"/>
    <cellStyle name="Note 9 4" xfId="2583" xr:uid="{00000000-0005-0000-0000-0000920F0000}"/>
    <cellStyle name="Output 2" xfId="2589" xr:uid="{00000000-0005-0000-0000-0000930F0000}"/>
    <cellStyle name="Percent 2" xfId="2584" xr:uid="{00000000-0005-0000-0000-0000940F0000}"/>
    <cellStyle name="Percent 2 2" xfId="2621" xr:uid="{00000000-0005-0000-0000-0000950F0000}"/>
    <cellStyle name="Percent 3" xfId="2614" xr:uid="{00000000-0005-0000-0000-0000960F0000}"/>
    <cellStyle name="Percent 4" xfId="2631" xr:uid="{00000000-0005-0000-0000-0000970F0000}"/>
    <cellStyle name="Percent 5" xfId="2652" xr:uid="{00000000-0005-0000-0000-0000980F0000}"/>
    <cellStyle name="Percent 6" xfId="13" xr:uid="{00000000-0005-0000-0000-0000990F0000}"/>
    <cellStyle name="Title" xfId="5" builtinId="15" customBuiltin="1"/>
    <cellStyle name="Total 2" xfId="2595" xr:uid="{00000000-0005-0000-0000-00009B0F0000}"/>
    <cellStyle name="Warning Text 2" xfId="2593" xr:uid="{00000000-0005-0000-0000-00009C0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ONTH%20END%20REPORTS%20-%20EXTERNAL\2024%20-%202025%20Fin%20Year\11%20November%202024\04.%20GDDS%20-%20Nov%202024\Nov2024%20-%20GDDS%20Reports\00%20-%20Nov2024%20-Workbook(GDDS%20Debt%20Stock%20IMF%20%20Debt%20by%20Creditor%20BOJ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nal Stock of Debt - GDDS"/>
      <sheetName val="External Debt Stock - IMF "/>
      <sheetName val="External Debt by Creditor (BOJ)"/>
      <sheetName val="B - Nov24"/>
      <sheetName val="M - Nov24"/>
      <sheetName val="RoughCals"/>
      <sheetName val="Nov24 - Stock of Debt (BOJ)"/>
      <sheetName val="Nov24 - Stock of Debt"/>
      <sheetName val="Maturity Struct"/>
      <sheetName val="670 Report - Oct24"/>
      <sheetName val="303 Report - Oct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4874-D587-4E22-A7FE-D82FADBFF1CF}">
  <dimension ref="A1:EH36"/>
  <sheetViews>
    <sheetView tabSelected="1" topLeftCell="B2" zoomScale="85" zoomScaleNormal="85" workbookViewId="0">
      <pane xSplit="84" ySplit="8" topLeftCell="DU10" activePane="bottomRight" state="frozen"/>
      <selection activeCell="B2" sqref="B2"/>
      <selection pane="topRight" activeCell="CH2" sqref="CH2"/>
      <selection pane="bottomLeft" activeCell="B10" sqref="B10"/>
      <selection pane="bottomRight" activeCell="EG21" sqref="EG21"/>
    </sheetView>
  </sheetViews>
  <sheetFormatPr defaultRowHeight="14.5" x14ac:dyDescent="0.35"/>
  <cols>
    <col min="1" max="1" width="20.26953125" hidden="1" customWidth="1"/>
    <col min="2" max="2" width="28.54296875" customWidth="1"/>
    <col min="3" max="3" width="19.7265625" bestFit="1" customWidth="1"/>
    <col min="4" max="11" width="11.453125" hidden="1" customWidth="1"/>
    <col min="12" max="13" width="11.7265625" hidden="1" customWidth="1"/>
    <col min="14" max="16" width="12.453125" hidden="1" customWidth="1"/>
    <col min="17" max="18" width="11.7265625" hidden="1" customWidth="1"/>
    <col min="19" max="19" width="11.54296875" hidden="1" customWidth="1"/>
    <col min="20" max="20" width="11.7265625" hidden="1" customWidth="1"/>
    <col min="21" max="21" width="12.54296875" hidden="1" customWidth="1"/>
    <col min="22" max="28" width="13.26953125" hidden="1" customWidth="1"/>
    <col min="29" max="29" width="13.26953125" style="23" hidden="1" customWidth="1"/>
    <col min="30" max="32" width="13.26953125" hidden="1" customWidth="1"/>
    <col min="33" max="34" width="13.453125" hidden="1" customWidth="1"/>
    <col min="35" max="35" width="12.54296875" hidden="1" customWidth="1"/>
    <col min="36" max="36" width="13.26953125" hidden="1" customWidth="1"/>
    <col min="37" max="37" width="13.453125" hidden="1" customWidth="1"/>
    <col min="38" max="39" width="13.26953125" hidden="1" customWidth="1"/>
    <col min="40" max="40" width="13.453125" hidden="1" customWidth="1"/>
    <col min="41" max="42" width="13.26953125" hidden="1" customWidth="1"/>
    <col min="43" max="43" width="13.453125" hidden="1" customWidth="1"/>
    <col min="44" max="44" width="14.7265625" style="8" hidden="1" customWidth="1"/>
    <col min="45" max="45" width="13.7265625" hidden="1" customWidth="1"/>
    <col min="46" max="47" width="14.453125" hidden="1" customWidth="1"/>
    <col min="48" max="48" width="14.54296875" hidden="1" customWidth="1"/>
    <col min="49" max="52" width="14.453125" hidden="1" customWidth="1"/>
    <col min="53" max="53" width="14.453125" style="16" hidden="1" customWidth="1"/>
    <col min="54" max="54" width="14.453125" hidden="1" customWidth="1"/>
    <col min="55" max="55" width="14" style="8" hidden="1" customWidth="1"/>
    <col min="56" max="56" width="11.54296875" hidden="1" customWidth="1"/>
    <col min="57" max="57" width="13.453125" hidden="1" customWidth="1"/>
    <col min="58" max="58" width="12.54296875" hidden="1" customWidth="1"/>
    <col min="59" max="59" width="13.453125" style="8" hidden="1" customWidth="1"/>
    <col min="60" max="60" width="15.54296875" hidden="1" customWidth="1"/>
    <col min="61" max="61" width="13.453125" hidden="1" customWidth="1"/>
    <col min="62" max="62" width="14.453125" hidden="1" customWidth="1"/>
    <col min="63" max="63" width="13" hidden="1" customWidth="1"/>
    <col min="64" max="64" width="12.7265625" style="8" hidden="1" customWidth="1"/>
    <col min="65" max="65" width="13.453125" hidden="1" customWidth="1"/>
    <col min="66" max="66" width="14.26953125" style="8" hidden="1" customWidth="1"/>
    <col min="67" max="67" width="11.54296875" style="8" hidden="1" customWidth="1"/>
    <col min="68" max="68" width="11.54296875" hidden="1" customWidth="1"/>
    <col min="69" max="70" width="14.453125" hidden="1" customWidth="1"/>
    <col min="71" max="71" width="13.453125" hidden="1" customWidth="1"/>
    <col min="72" max="72" width="14.453125" hidden="1" customWidth="1"/>
    <col min="73" max="73" width="13.453125" hidden="1" customWidth="1"/>
    <col min="74" max="74" width="13.7265625" hidden="1" customWidth="1"/>
    <col min="75" max="75" width="12.54296875" style="8" hidden="1" customWidth="1"/>
    <col min="76" max="76" width="12.54296875" hidden="1" customWidth="1"/>
    <col min="77" max="77" width="12.7265625" hidden="1" customWidth="1"/>
    <col min="78" max="78" width="12.54296875" hidden="1" customWidth="1"/>
    <col min="79" max="79" width="12.54296875" style="21" hidden="1" customWidth="1"/>
    <col min="80" max="80" width="12.7265625" hidden="1" customWidth="1"/>
    <col min="81" max="81" width="16.453125" hidden="1" customWidth="1"/>
    <col min="82" max="82" width="12.54296875" hidden="1" customWidth="1"/>
    <col min="83" max="83" width="12.7265625" hidden="1" customWidth="1"/>
    <col min="84" max="85" width="13" hidden="1" customWidth="1"/>
    <col min="86" max="88" width="13.453125" hidden="1" customWidth="1"/>
    <col min="89" max="89" width="15.7265625" hidden="1" customWidth="1"/>
    <col min="90" max="90" width="13.453125" hidden="1" customWidth="1"/>
    <col min="91" max="91" width="15.26953125" hidden="1" customWidth="1"/>
    <col min="92" max="92" width="12.54296875" hidden="1" customWidth="1"/>
    <col min="93" max="93" width="12.7265625" hidden="1" customWidth="1"/>
    <col min="94" max="94" width="12.26953125" hidden="1" customWidth="1"/>
    <col min="95" max="95" width="12.54296875" hidden="1" customWidth="1"/>
    <col min="96" max="96" width="13.26953125" hidden="1" customWidth="1"/>
    <col min="97" max="97" width="13.26953125" customWidth="1"/>
    <col min="98" max="98" width="14.26953125" customWidth="1"/>
    <col min="99" max="99" width="13.26953125" bestFit="1" customWidth="1"/>
    <col min="100" max="100" width="13.54296875" customWidth="1"/>
    <col min="101" max="101" width="15.26953125" customWidth="1"/>
    <col min="102" max="102" width="16.26953125" bestFit="1" customWidth="1"/>
    <col min="103" max="105" width="14.7265625" customWidth="1"/>
    <col min="106" max="106" width="17.81640625" bestFit="1" customWidth="1"/>
    <col min="107" max="125" width="14.453125" bestFit="1" customWidth="1"/>
    <col min="126" max="128" width="13.81640625" bestFit="1" customWidth="1"/>
    <col min="129" max="131" width="15.26953125" customWidth="1"/>
    <col min="132" max="134" width="15.7265625" customWidth="1"/>
    <col min="135" max="136" width="14.453125" customWidth="1"/>
    <col min="137" max="137" width="14.453125" bestFit="1" customWidth="1"/>
    <col min="138" max="138" width="13.54296875" bestFit="1" customWidth="1"/>
  </cols>
  <sheetData>
    <row r="1" spans="1:138" ht="15" thickBot="1" x14ac:dyDescent="0.4"/>
    <row r="2" spans="1:138" x14ac:dyDescent="0.35">
      <c r="A2" s="24" t="s">
        <v>0</v>
      </c>
      <c r="B2" s="25" t="s">
        <v>1</v>
      </c>
      <c r="C2" s="26" t="s">
        <v>2</v>
      </c>
    </row>
    <row r="3" spans="1:138" x14ac:dyDescent="0.35">
      <c r="A3" s="27" t="s">
        <v>3</v>
      </c>
      <c r="B3" s="28" t="s">
        <v>4</v>
      </c>
      <c r="C3" s="29" t="s">
        <v>5</v>
      </c>
      <c r="AL3" s="8"/>
    </row>
    <row r="4" spans="1:138" ht="15" thickBot="1" x14ac:dyDescent="0.4">
      <c r="A4" s="27" t="s">
        <v>6</v>
      </c>
      <c r="B4" t="s">
        <v>7</v>
      </c>
      <c r="C4" s="29" t="s">
        <v>8</v>
      </c>
      <c r="AL4" s="8"/>
      <c r="AM4" s="8"/>
    </row>
    <row r="5" spans="1:138" x14ac:dyDescent="0.35">
      <c r="A5" s="24" t="s">
        <v>9</v>
      </c>
      <c r="B5" s="30">
        <v>6</v>
      </c>
      <c r="C5" s="31" t="str">
        <f>"Scale = "&amp;IF(B5=0,"Unit",(IF(B5=3,"Thousand",(IF(B5=6,"Million",(IF(B5=9,"Billion")))))))</f>
        <v>Scale = Million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AJ5" s="8"/>
      <c r="AL5" s="8"/>
      <c r="AM5" s="8"/>
    </row>
    <row r="6" spans="1:138" x14ac:dyDescent="0.35">
      <c r="A6" s="27" t="s">
        <v>10</v>
      </c>
      <c r="B6" t="s">
        <v>11</v>
      </c>
      <c r="C6" s="33" t="str">
        <f>"Frequency = "&amp;IF(B6="A","Annual",IF(B6="Q", "Quarterly", "Monthly"))</f>
        <v>Frequency = Monthly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AL6" s="8"/>
      <c r="AM6" s="8"/>
    </row>
    <row r="7" spans="1:138" ht="15" thickBot="1" x14ac:dyDescent="0.4">
      <c r="A7" s="34" t="s">
        <v>12</v>
      </c>
      <c r="B7" s="35" t="s">
        <v>13</v>
      </c>
      <c r="C7" s="36" t="s">
        <v>14</v>
      </c>
      <c r="AJ7" s="37"/>
      <c r="AL7" s="8"/>
      <c r="AM7" s="8"/>
      <c r="BM7" s="38"/>
      <c r="BW7" s="16"/>
    </row>
    <row r="8" spans="1:138" ht="15.5" x14ac:dyDescent="0.35">
      <c r="AM8" s="8"/>
      <c r="CA8" s="39"/>
    </row>
    <row r="9" spans="1:138" ht="15" thickBot="1" x14ac:dyDescent="0.4">
      <c r="AR9" s="1"/>
      <c r="BK9" s="8"/>
      <c r="BM9" s="8"/>
      <c r="BN9" s="38"/>
    </row>
    <row r="10" spans="1:138" ht="15" thickBot="1" x14ac:dyDescent="0.4">
      <c r="A10" s="40" t="s">
        <v>15</v>
      </c>
      <c r="B10" s="41" t="s">
        <v>16</v>
      </c>
      <c r="C10" s="41" t="s">
        <v>17</v>
      </c>
      <c r="D10" s="42" t="s">
        <v>91</v>
      </c>
      <c r="E10" s="43" t="s">
        <v>92</v>
      </c>
      <c r="F10" s="43" t="s">
        <v>93</v>
      </c>
      <c r="G10" s="43" t="s">
        <v>94</v>
      </c>
      <c r="H10" s="43" t="s">
        <v>95</v>
      </c>
      <c r="I10" s="43" t="s">
        <v>96</v>
      </c>
      <c r="J10" s="43" t="s">
        <v>97</v>
      </c>
      <c r="K10" s="43" t="s">
        <v>98</v>
      </c>
      <c r="L10" s="43" t="s">
        <v>99</v>
      </c>
      <c r="M10" s="43" t="s">
        <v>101</v>
      </c>
      <c r="N10" s="43" t="s">
        <v>102</v>
      </c>
      <c r="O10" s="44" t="s">
        <v>100</v>
      </c>
      <c r="P10" s="45" t="s">
        <v>18</v>
      </c>
      <c r="Q10" s="45" t="s">
        <v>19</v>
      </c>
      <c r="R10" s="45" t="s">
        <v>20</v>
      </c>
      <c r="S10" s="45" t="s">
        <v>21</v>
      </c>
      <c r="T10" s="45" t="s">
        <v>22</v>
      </c>
      <c r="U10" s="45" t="s">
        <v>23</v>
      </c>
      <c r="V10" s="45" t="s">
        <v>24</v>
      </c>
      <c r="W10" s="45" t="s">
        <v>25</v>
      </c>
      <c r="X10" s="45" t="s">
        <v>90</v>
      </c>
      <c r="Y10" s="45" t="s">
        <v>103</v>
      </c>
      <c r="Z10" s="45" t="s">
        <v>104</v>
      </c>
      <c r="AA10" s="45" t="s">
        <v>105</v>
      </c>
      <c r="AB10" s="45" t="s">
        <v>106</v>
      </c>
      <c r="AC10" s="45" t="s">
        <v>107</v>
      </c>
      <c r="AD10" s="45" t="s">
        <v>108</v>
      </c>
      <c r="AE10" s="45" t="s">
        <v>109</v>
      </c>
      <c r="AF10" s="45" t="s">
        <v>110</v>
      </c>
      <c r="AG10" s="45" t="s">
        <v>113</v>
      </c>
      <c r="AH10" s="45" t="s">
        <v>114</v>
      </c>
      <c r="AI10" s="45" t="s">
        <v>115</v>
      </c>
      <c r="AJ10" s="45" t="s">
        <v>116</v>
      </c>
      <c r="AK10" s="45" t="s">
        <v>117</v>
      </c>
      <c r="AL10" s="45" t="s">
        <v>118</v>
      </c>
      <c r="AM10" s="45" t="s">
        <v>119</v>
      </c>
      <c r="AN10" s="45" t="s">
        <v>120</v>
      </c>
      <c r="AO10" s="45" t="s">
        <v>121</v>
      </c>
      <c r="AP10" s="45" t="s">
        <v>122</v>
      </c>
      <c r="AQ10" s="45" t="s">
        <v>123</v>
      </c>
      <c r="AR10" s="45" t="s">
        <v>124</v>
      </c>
      <c r="AS10" s="46" t="s">
        <v>125</v>
      </c>
      <c r="AT10" s="46" t="s">
        <v>126</v>
      </c>
      <c r="AU10" s="46" t="s">
        <v>127</v>
      </c>
      <c r="AV10" s="46" t="s">
        <v>128</v>
      </c>
      <c r="AW10" s="46" t="s">
        <v>129</v>
      </c>
      <c r="AX10" s="46" t="s">
        <v>130</v>
      </c>
      <c r="AY10" s="46" t="s">
        <v>131</v>
      </c>
      <c r="AZ10" s="46" t="s">
        <v>132</v>
      </c>
      <c r="BA10" s="46" t="s">
        <v>133</v>
      </c>
      <c r="BB10" s="46" t="s">
        <v>134</v>
      </c>
      <c r="BC10" s="46" t="s">
        <v>135</v>
      </c>
      <c r="BD10" s="46" t="s">
        <v>136</v>
      </c>
      <c r="BE10" s="46" t="s">
        <v>137</v>
      </c>
      <c r="BF10" s="46" t="s">
        <v>138</v>
      </c>
      <c r="BG10" s="46" t="s">
        <v>139</v>
      </c>
      <c r="BH10" s="47" t="s">
        <v>140</v>
      </c>
      <c r="BI10" s="47" t="s">
        <v>141</v>
      </c>
      <c r="BJ10" s="47" t="s">
        <v>142</v>
      </c>
      <c r="BK10" s="47" t="s">
        <v>143</v>
      </c>
      <c r="BL10" s="47" t="s">
        <v>144</v>
      </c>
      <c r="BM10" s="47" t="s">
        <v>145</v>
      </c>
      <c r="BN10" s="47" t="s">
        <v>146</v>
      </c>
      <c r="BO10" s="47" t="s">
        <v>147</v>
      </c>
      <c r="BP10" s="47" t="s">
        <v>148</v>
      </c>
      <c r="BQ10" s="47" t="s">
        <v>149</v>
      </c>
      <c r="BR10" s="47" t="s">
        <v>150</v>
      </c>
      <c r="BS10" s="47" t="s">
        <v>151</v>
      </c>
      <c r="BT10" s="47" t="s">
        <v>152</v>
      </c>
      <c r="BU10" s="47" t="s">
        <v>153</v>
      </c>
      <c r="BV10" s="47" t="s">
        <v>154</v>
      </c>
      <c r="BW10" s="47" t="s">
        <v>155</v>
      </c>
      <c r="BX10" s="47" t="s">
        <v>156</v>
      </c>
      <c r="BY10" s="47" t="s">
        <v>157</v>
      </c>
      <c r="BZ10" s="47" t="s">
        <v>158</v>
      </c>
      <c r="CA10" s="47" t="s">
        <v>159</v>
      </c>
      <c r="CB10" s="47" t="s">
        <v>160</v>
      </c>
      <c r="CC10" s="47" t="s">
        <v>161</v>
      </c>
      <c r="CD10" s="47" t="s">
        <v>162</v>
      </c>
      <c r="CE10" s="47" t="s">
        <v>163</v>
      </c>
      <c r="CF10" s="47" t="s">
        <v>164</v>
      </c>
      <c r="CG10" s="47" t="s">
        <v>165</v>
      </c>
      <c r="CH10" s="47" t="s">
        <v>166</v>
      </c>
      <c r="CI10" s="47" t="s">
        <v>167</v>
      </c>
      <c r="CJ10" s="48" t="s">
        <v>168</v>
      </c>
      <c r="CK10" s="48" t="s">
        <v>169</v>
      </c>
      <c r="CL10" s="48" t="s">
        <v>170</v>
      </c>
      <c r="CM10" s="48" t="s">
        <v>171</v>
      </c>
      <c r="CN10" s="48" t="s">
        <v>172</v>
      </c>
      <c r="CO10" s="48" t="s">
        <v>173</v>
      </c>
      <c r="CP10" s="48" t="s">
        <v>174</v>
      </c>
      <c r="CQ10" s="48" t="s">
        <v>175</v>
      </c>
      <c r="CR10" s="48" t="s">
        <v>176</v>
      </c>
      <c r="CS10" s="48" t="s">
        <v>177</v>
      </c>
      <c r="CT10" s="48" t="s">
        <v>178</v>
      </c>
      <c r="CU10" s="48" t="s">
        <v>179</v>
      </c>
      <c r="CV10" s="48" t="s">
        <v>180</v>
      </c>
      <c r="CW10" s="48" t="s">
        <v>181</v>
      </c>
      <c r="CX10" s="48" t="s">
        <v>182</v>
      </c>
      <c r="CY10" s="48" t="s">
        <v>183</v>
      </c>
      <c r="CZ10" s="48" t="s">
        <v>184</v>
      </c>
      <c r="DA10" s="48" t="s">
        <v>185</v>
      </c>
      <c r="DB10" s="48" t="s">
        <v>186</v>
      </c>
      <c r="DC10" s="48" t="s">
        <v>187</v>
      </c>
      <c r="DD10" s="48" t="s">
        <v>188</v>
      </c>
      <c r="DE10" s="48" t="s">
        <v>189</v>
      </c>
      <c r="DF10" s="48" t="s">
        <v>190</v>
      </c>
      <c r="DG10" s="48" t="s">
        <v>191</v>
      </c>
      <c r="DH10" s="48" t="s">
        <v>192</v>
      </c>
      <c r="DI10" s="48" t="s">
        <v>193</v>
      </c>
      <c r="DJ10" s="48" t="s">
        <v>194</v>
      </c>
      <c r="DK10" s="48" t="s">
        <v>195</v>
      </c>
      <c r="DL10" s="48" t="s">
        <v>196</v>
      </c>
      <c r="DM10" s="48" t="s">
        <v>197</v>
      </c>
      <c r="DN10" s="48" t="s">
        <v>198</v>
      </c>
      <c r="DO10" s="48" t="s">
        <v>199</v>
      </c>
      <c r="DP10" s="48" t="s">
        <v>200</v>
      </c>
      <c r="DQ10" s="48" t="s">
        <v>201</v>
      </c>
      <c r="DR10" s="48" t="s">
        <v>202</v>
      </c>
      <c r="DS10" s="48" t="s">
        <v>203</v>
      </c>
      <c r="DT10" s="48" t="s">
        <v>204</v>
      </c>
      <c r="DU10" s="48" t="s">
        <v>205</v>
      </c>
      <c r="DV10" s="48" t="s">
        <v>206</v>
      </c>
      <c r="DW10" s="48" t="s">
        <v>207</v>
      </c>
      <c r="DX10" s="48" t="s">
        <v>208</v>
      </c>
      <c r="DY10" s="48" t="s">
        <v>209</v>
      </c>
      <c r="DZ10" s="48" t="s">
        <v>210</v>
      </c>
      <c r="EA10" s="48" t="s">
        <v>211</v>
      </c>
      <c r="EB10" s="48" t="s">
        <v>212</v>
      </c>
      <c r="EC10" s="48" t="s">
        <v>213</v>
      </c>
      <c r="ED10" s="48" t="s">
        <v>214</v>
      </c>
      <c r="EE10" s="48" t="s">
        <v>215</v>
      </c>
      <c r="EF10" s="48" t="s">
        <v>216</v>
      </c>
      <c r="EG10" s="48" t="s">
        <v>217</v>
      </c>
      <c r="EH10" s="48" t="s">
        <v>218</v>
      </c>
    </row>
    <row r="11" spans="1:138" x14ac:dyDescent="0.35">
      <c r="A11" s="49" t="s">
        <v>66</v>
      </c>
      <c r="B11" s="50" t="s">
        <v>26</v>
      </c>
      <c r="C11" s="51" t="s">
        <v>42</v>
      </c>
      <c r="D11" s="52">
        <f t="shared" ref="D11:AM11" si="0">D12+D23</f>
        <v>2044999.0393699999</v>
      </c>
      <c r="E11" s="53">
        <f t="shared" si="0"/>
        <v>2045740.43356</v>
      </c>
      <c r="F11" s="53">
        <f t="shared" si="0"/>
        <v>2027253.3304000001</v>
      </c>
      <c r="G11" s="53">
        <f t="shared" si="0"/>
        <v>2050110.1469599998</v>
      </c>
      <c r="H11" s="53">
        <f t="shared" si="0"/>
        <v>2073935.8466000003</v>
      </c>
      <c r="I11" s="53">
        <f t="shared" si="0"/>
        <v>2086726.8310200002</v>
      </c>
      <c r="J11" s="53">
        <f t="shared" si="0"/>
        <v>2090513.4261699999</v>
      </c>
      <c r="K11" s="53">
        <f t="shared" si="0"/>
        <v>2085757.5240000002</v>
      </c>
      <c r="L11" s="53">
        <f t="shared" si="0"/>
        <v>2102222.92</v>
      </c>
      <c r="M11" s="53">
        <f t="shared" si="0"/>
        <v>2106436.2229700005</v>
      </c>
      <c r="N11" s="53">
        <f t="shared" si="0"/>
        <v>2065378.73006</v>
      </c>
      <c r="O11" s="53">
        <f t="shared" si="0"/>
        <v>2068759.4533400002</v>
      </c>
      <c r="P11" s="54">
        <f t="shared" si="0"/>
        <v>2077027.1697300002</v>
      </c>
      <c r="Q11" s="54">
        <f t="shared" si="0"/>
        <v>2102462.0389400003</v>
      </c>
      <c r="R11" s="54">
        <f t="shared" si="0"/>
        <v>2116703.0140999998</v>
      </c>
      <c r="S11" s="54">
        <f t="shared" si="0"/>
        <v>2113412.0392800001</v>
      </c>
      <c r="T11" s="54">
        <f t="shared" si="0"/>
        <v>2142892.9464500002</v>
      </c>
      <c r="U11" s="55">
        <f t="shared" si="0"/>
        <v>2144641.40496</v>
      </c>
      <c r="V11" s="55">
        <f t="shared" si="0"/>
        <v>2148476.7612000001</v>
      </c>
      <c r="W11" s="55">
        <f t="shared" si="0"/>
        <v>2150644.1934599997</v>
      </c>
      <c r="X11" s="55">
        <f t="shared" si="0"/>
        <v>2150063.4176000003</v>
      </c>
      <c r="Y11" s="55">
        <f t="shared" si="0"/>
        <v>2148129.3281099997</v>
      </c>
      <c r="Z11" s="55">
        <f t="shared" si="0"/>
        <v>2154474.2799230004</v>
      </c>
      <c r="AA11" s="55">
        <f t="shared" si="0"/>
        <v>2158846.3501072</v>
      </c>
      <c r="AB11" s="55">
        <f t="shared" si="0"/>
        <v>2107892.8371700002</v>
      </c>
      <c r="AC11" s="55">
        <f t="shared" si="0"/>
        <v>2073167.69154</v>
      </c>
      <c r="AD11" s="55">
        <f t="shared" si="0"/>
        <v>2032176.3786000004</v>
      </c>
      <c r="AE11" s="55">
        <f t="shared" si="0"/>
        <v>2035960.1644699997</v>
      </c>
      <c r="AF11" s="55">
        <f t="shared" si="0"/>
        <v>2143857.4165600003</v>
      </c>
      <c r="AG11" s="55">
        <f t="shared" si="0"/>
        <v>2075640.3509999998</v>
      </c>
      <c r="AH11" s="55">
        <f t="shared" si="0"/>
        <v>2049903.9361999999</v>
      </c>
      <c r="AI11" s="55">
        <f t="shared" si="0"/>
        <v>2037041.1337799998</v>
      </c>
      <c r="AJ11" s="55">
        <f t="shared" si="0"/>
        <v>2023129.8211199995</v>
      </c>
      <c r="AK11" s="55">
        <f t="shared" si="0"/>
        <v>2033659.9411599999</v>
      </c>
      <c r="AL11" s="55">
        <f t="shared" si="0"/>
        <v>2044415.6169999996</v>
      </c>
      <c r="AM11" s="55">
        <f t="shared" si="0"/>
        <v>2028153.9279999998</v>
      </c>
      <c r="AN11" s="55">
        <v>2028300.5</v>
      </c>
      <c r="AO11" s="56">
        <v>2063116.9067500001</v>
      </c>
      <c r="AP11" s="9">
        <f>AP12+AP23</f>
        <v>2070741.0561200003</v>
      </c>
      <c r="AQ11" s="9">
        <f>AQ12+AQ23</f>
        <v>2079377.4871499999</v>
      </c>
      <c r="AR11" s="9">
        <v>2106974.0480999993</v>
      </c>
      <c r="AS11" s="56">
        <f t="shared" ref="AS11:DD11" si="1">AS12+AS23</f>
        <v>2080203.3887200002</v>
      </c>
      <c r="AT11" s="56">
        <f t="shared" si="1"/>
        <v>2019532.0836405098</v>
      </c>
      <c r="AU11" s="57">
        <f t="shared" si="1"/>
        <v>2017320.2291899999</v>
      </c>
      <c r="AV11" s="57">
        <f t="shared" si="1"/>
        <v>2021184.4500000002</v>
      </c>
      <c r="AW11" s="57">
        <f t="shared" si="1"/>
        <v>2104918.17</v>
      </c>
      <c r="AX11" s="57">
        <f t="shared" si="1"/>
        <v>2029489.73</v>
      </c>
      <c r="AY11" s="57">
        <f t="shared" si="1"/>
        <v>2004658.29</v>
      </c>
      <c r="AZ11" s="19">
        <f t="shared" si="1"/>
        <v>2093470.88</v>
      </c>
      <c r="BA11" s="19">
        <f t="shared" si="1"/>
        <v>2078488.27</v>
      </c>
      <c r="BB11" s="19">
        <f t="shared" si="1"/>
        <v>2050179.5499999998</v>
      </c>
      <c r="BC11" s="19">
        <f t="shared" si="1"/>
        <v>2072276.2399999998</v>
      </c>
      <c r="BD11" s="9">
        <f t="shared" si="1"/>
        <v>2079002.17</v>
      </c>
      <c r="BE11" s="56">
        <f t="shared" si="1"/>
        <v>1984635.85</v>
      </c>
      <c r="BF11" s="57">
        <f t="shared" si="1"/>
        <v>2036951.2999999998</v>
      </c>
      <c r="BG11" s="57">
        <f t="shared" si="1"/>
        <v>1998667.9100000001</v>
      </c>
      <c r="BH11" s="58">
        <f t="shared" si="1"/>
        <v>1970612.1099999999</v>
      </c>
      <c r="BI11" s="58">
        <f t="shared" si="1"/>
        <v>2044379.21</v>
      </c>
      <c r="BJ11" s="58">
        <f t="shared" si="1"/>
        <v>2005048.3399999999</v>
      </c>
      <c r="BK11" s="58">
        <f t="shared" si="1"/>
        <v>2008086.3</v>
      </c>
      <c r="BL11" s="58">
        <f t="shared" si="1"/>
        <v>2082554.42</v>
      </c>
      <c r="BM11" s="58">
        <f t="shared" si="1"/>
        <v>2089631.6499532</v>
      </c>
      <c r="BN11" s="58">
        <f t="shared" si="1"/>
        <v>2054365.25</v>
      </c>
      <c r="BO11" s="58">
        <f t="shared" si="1"/>
        <v>2128438.3800000004</v>
      </c>
      <c r="BP11" s="58">
        <f t="shared" si="1"/>
        <v>2136734.28192</v>
      </c>
      <c r="BQ11" s="58">
        <f t="shared" si="1"/>
        <v>2079464.21</v>
      </c>
      <c r="BR11" s="58">
        <f t="shared" si="1"/>
        <v>2081487.0300000003</v>
      </c>
      <c r="BS11" s="58">
        <f t="shared" si="1"/>
        <v>2124891.46</v>
      </c>
      <c r="BT11" s="58">
        <f t="shared" si="1"/>
        <v>2085985.19</v>
      </c>
      <c r="BU11" s="58">
        <f t="shared" si="1"/>
        <v>2142626.7799999998</v>
      </c>
      <c r="BV11" s="58">
        <f t="shared" si="1"/>
        <v>2170441.2400000002</v>
      </c>
      <c r="BW11" s="58">
        <f t="shared" si="1"/>
        <v>2152560.5304399999</v>
      </c>
      <c r="BX11" s="58">
        <f t="shared" si="1"/>
        <v>2234350.04</v>
      </c>
      <c r="BY11" s="58">
        <f t="shared" si="1"/>
        <v>2169796.2000000002</v>
      </c>
      <c r="BZ11" s="58">
        <f t="shared" si="1"/>
        <v>2162476.14</v>
      </c>
      <c r="CA11" s="58">
        <f t="shared" si="1"/>
        <v>2221653.29</v>
      </c>
      <c r="CB11" s="58">
        <f t="shared" si="1"/>
        <v>2201202.38</v>
      </c>
      <c r="CC11" s="58">
        <f t="shared" si="1"/>
        <v>2153205.2011099998</v>
      </c>
      <c r="CD11" s="58">
        <f t="shared" si="1"/>
        <v>2233288.2218707302</v>
      </c>
      <c r="CE11" s="58">
        <f t="shared" si="1"/>
        <v>2249781.88</v>
      </c>
      <c r="CF11" s="58">
        <f t="shared" si="1"/>
        <v>2245360.6643200004</v>
      </c>
      <c r="CG11" s="58">
        <f t="shared" si="1"/>
        <v>2224940.9059600001</v>
      </c>
      <c r="CH11" s="58">
        <f t="shared" si="1"/>
        <v>2218507.31</v>
      </c>
      <c r="CI11" s="58">
        <f t="shared" si="1"/>
        <v>2215538.3476799997</v>
      </c>
      <c r="CJ11" s="59">
        <f t="shared" si="1"/>
        <v>2218911.4899519999</v>
      </c>
      <c r="CK11" s="59">
        <f t="shared" si="1"/>
        <v>2222878.5499999998</v>
      </c>
      <c r="CL11" s="59">
        <f t="shared" si="1"/>
        <v>2192897.1846599998</v>
      </c>
      <c r="CM11" s="59">
        <f t="shared" si="1"/>
        <v>2215287.3804959999</v>
      </c>
      <c r="CN11" s="59">
        <f t="shared" si="1"/>
        <v>2211883.75</v>
      </c>
      <c r="CO11" s="59">
        <f t="shared" si="1"/>
        <v>2219801.7800000003</v>
      </c>
      <c r="CP11" s="59">
        <f t="shared" si="1"/>
        <v>2237314.8369999998</v>
      </c>
      <c r="CQ11" s="59">
        <f t="shared" si="1"/>
        <v>2242020.2459359998</v>
      </c>
      <c r="CR11" s="59">
        <f t="shared" si="1"/>
        <v>2216338.91</v>
      </c>
      <c r="CS11" s="59">
        <f t="shared" si="1"/>
        <v>2207465.4618100002</v>
      </c>
      <c r="CT11" s="59">
        <f t="shared" si="1"/>
        <v>2199599.5099999998</v>
      </c>
      <c r="CU11" s="59">
        <f t="shared" si="1"/>
        <v>2152387.7599999998</v>
      </c>
      <c r="CV11" s="59">
        <f t="shared" si="1"/>
        <v>2182608.5598600004</v>
      </c>
      <c r="CW11" s="59">
        <f t="shared" si="1"/>
        <v>2209429.48</v>
      </c>
      <c r="CX11" s="59">
        <f t="shared" si="1"/>
        <v>2198807.94</v>
      </c>
      <c r="CY11" s="59">
        <f t="shared" si="1"/>
        <v>2186898.5739332894</v>
      </c>
      <c r="CZ11" s="59">
        <f t="shared" si="1"/>
        <v>2271505.2216145359</v>
      </c>
      <c r="DA11" s="59">
        <f t="shared" si="1"/>
        <v>2269699.5787998862</v>
      </c>
      <c r="DB11" s="59">
        <f t="shared" si="1"/>
        <v>2272507.052834</v>
      </c>
      <c r="DC11" s="59">
        <f t="shared" si="1"/>
        <v>2255000.3988198</v>
      </c>
      <c r="DD11" s="59">
        <f t="shared" si="1"/>
        <v>2250068.0312806484</v>
      </c>
      <c r="DE11" s="59">
        <f t="shared" ref="DE11:DR11" si="2">DE12+DE23</f>
        <v>2255723.7319920002</v>
      </c>
      <c r="DF11" s="59">
        <f t="shared" si="2"/>
        <v>2245247.806351</v>
      </c>
      <c r="DG11" s="59">
        <f t="shared" si="2"/>
        <v>2263495.9283719999</v>
      </c>
      <c r="DH11" s="59">
        <f t="shared" si="2"/>
        <v>2282140.3908759998</v>
      </c>
      <c r="DI11" s="59">
        <f t="shared" si="2"/>
        <v>2269737.3356309999</v>
      </c>
      <c r="DJ11" s="59">
        <f t="shared" si="2"/>
        <v>2269384.9533320004</v>
      </c>
      <c r="DK11" s="59">
        <f t="shared" si="2"/>
        <v>2262465.30761</v>
      </c>
      <c r="DL11" s="59">
        <f t="shared" si="2"/>
        <v>2251326.7776299999</v>
      </c>
      <c r="DM11" s="59">
        <f t="shared" si="2"/>
        <v>2294073.9718240001</v>
      </c>
      <c r="DN11" s="59">
        <f t="shared" si="2"/>
        <v>2279922.4736959999</v>
      </c>
      <c r="DO11" s="59">
        <f t="shared" si="2"/>
        <v>2235853.355792</v>
      </c>
      <c r="DP11" s="59">
        <f t="shared" si="2"/>
        <v>2224902.065831</v>
      </c>
      <c r="DQ11" s="59">
        <f t="shared" si="2"/>
        <v>2244919.1065500001</v>
      </c>
      <c r="DR11" s="59">
        <f t="shared" si="2"/>
        <v>2251576.9634070001</v>
      </c>
      <c r="DS11" s="59">
        <f t="shared" ref="DS11:DX11" si="3">DS12+DS23</f>
        <v>2236442.9497460001</v>
      </c>
      <c r="DT11" s="59">
        <f t="shared" si="3"/>
        <v>2236714.3624119996</v>
      </c>
      <c r="DU11" s="59">
        <f t="shared" si="3"/>
        <v>2230662.3419960001</v>
      </c>
      <c r="DV11" s="59">
        <f t="shared" si="3"/>
        <v>2243014.2047939999</v>
      </c>
      <c r="DW11" s="59">
        <f t="shared" si="3"/>
        <v>2240084.2710830001</v>
      </c>
      <c r="DX11" s="59">
        <f t="shared" si="3"/>
        <v>2250646.2858840004</v>
      </c>
      <c r="DY11" s="59">
        <f t="shared" ref="DY11:DZ11" si="4">DY12+DY23</f>
        <v>2246217.5176099995</v>
      </c>
      <c r="DZ11" s="59">
        <f t="shared" si="4"/>
        <v>2247992.6502096001</v>
      </c>
      <c r="EA11" s="59">
        <f t="shared" ref="EA11:EB11" si="5">EA12+EA23</f>
        <v>2259741.9152799998</v>
      </c>
      <c r="EB11" s="59">
        <f t="shared" si="5"/>
        <v>2253309.830935</v>
      </c>
      <c r="EC11" s="59">
        <f t="shared" ref="EC11:ED11" si="6">EC12+EC23</f>
        <v>2337407.1493230001</v>
      </c>
      <c r="ED11" s="59">
        <f t="shared" si="6"/>
        <v>2369396.4644630002</v>
      </c>
      <c r="EE11" s="59">
        <f t="shared" ref="EE11:EF11" si="7">EE12+EE23</f>
        <v>2422254.38</v>
      </c>
      <c r="EF11" s="59">
        <f t="shared" si="7"/>
        <v>2379513.9661774305</v>
      </c>
      <c r="EG11" s="59">
        <f t="shared" ref="EG11:EH11" si="8">EG12+EG23</f>
        <v>2402450.9846699</v>
      </c>
      <c r="EH11" s="59">
        <f t="shared" si="8"/>
        <v>2396659.5066359001</v>
      </c>
    </row>
    <row r="12" spans="1:138" x14ac:dyDescent="0.35">
      <c r="A12" s="49" t="s">
        <v>67</v>
      </c>
      <c r="B12" s="60" t="s">
        <v>27</v>
      </c>
      <c r="C12" s="51" t="s">
        <v>43</v>
      </c>
      <c r="D12" s="61">
        <f t="shared" ref="D12:AI12" si="9">D13+D18</f>
        <v>1056208.28</v>
      </c>
      <c r="E12" s="62">
        <f t="shared" si="9"/>
        <v>1056703.58</v>
      </c>
      <c r="F12" s="62">
        <f t="shared" si="9"/>
        <v>1058106.01</v>
      </c>
      <c r="G12" s="62">
        <f t="shared" si="9"/>
        <v>857433.44</v>
      </c>
      <c r="H12" s="62">
        <f t="shared" si="9"/>
        <v>857433.44</v>
      </c>
      <c r="I12" s="62">
        <f t="shared" si="9"/>
        <v>858861.89999999991</v>
      </c>
      <c r="J12" s="62">
        <f t="shared" si="9"/>
        <v>859587.4800000001</v>
      </c>
      <c r="K12" s="62">
        <f t="shared" si="9"/>
        <v>859812.62000000011</v>
      </c>
      <c r="L12" s="62">
        <f t="shared" si="9"/>
        <v>860262.61000000022</v>
      </c>
      <c r="M12" s="62">
        <f t="shared" si="9"/>
        <v>860972.88000000012</v>
      </c>
      <c r="N12" s="62">
        <f t="shared" si="9"/>
        <v>816113.42</v>
      </c>
      <c r="O12" s="62">
        <f t="shared" si="9"/>
        <v>815948.48</v>
      </c>
      <c r="P12" s="54">
        <f t="shared" si="9"/>
        <v>816508.01000000013</v>
      </c>
      <c r="Q12" s="54">
        <f t="shared" si="9"/>
        <v>823845.71</v>
      </c>
      <c r="R12" s="54">
        <f t="shared" si="9"/>
        <v>824482.28</v>
      </c>
      <c r="S12" s="54">
        <f t="shared" si="9"/>
        <v>824998.94000000006</v>
      </c>
      <c r="T12" s="54">
        <f t="shared" si="9"/>
        <v>833550.54</v>
      </c>
      <c r="U12" s="55">
        <f t="shared" si="9"/>
        <v>824431.14</v>
      </c>
      <c r="V12" s="55">
        <f t="shared" si="9"/>
        <v>825717.14</v>
      </c>
      <c r="W12" s="55">
        <f t="shared" si="9"/>
        <v>834367.95</v>
      </c>
      <c r="X12" s="55">
        <f t="shared" si="9"/>
        <v>834319.96</v>
      </c>
      <c r="Y12" s="55">
        <f t="shared" si="9"/>
        <v>834486.79999999981</v>
      </c>
      <c r="Z12" s="55">
        <f t="shared" si="9"/>
        <v>848067.96</v>
      </c>
      <c r="AA12" s="55">
        <f t="shared" si="9"/>
        <v>848505.8899999999</v>
      </c>
      <c r="AB12" s="55">
        <f t="shared" si="9"/>
        <v>862446.07000000007</v>
      </c>
      <c r="AC12" s="55">
        <f t="shared" si="9"/>
        <v>820164.40000000014</v>
      </c>
      <c r="AD12" s="55">
        <f t="shared" si="9"/>
        <v>819970.80000000016</v>
      </c>
      <c r="AE12" s="55">
        <f t="shared" si="9"/>
        <v>820252.10399999993</v>
      </c>
      <c r="AF12" s="55">
        <f t="shared" si="9"/>
        <v>821902.89500000002</v>
      </c>
      <c r="AG12" s="55">
        <f t="shared" si="9"/>
        <v>754052.92999999993</v>
      </c>
      <c r="AH12" s="55">
        <f t="shared" si="9"/>
        <v>758388.41999999993</v>
      </c>
      <c r="AI12" s="55">
        <f t="shared" si="9"/>
        <v>759939.54999999993</v>
      </c>
      <c r="AJ12" s="55">
        <f>AJ13+AJ18</f>
        <v>760275.77999999991</v>
      </c>
      <c r="AK12" s="55">
        <f>AK13+AK18</f>
        <v>765675.40999999992</v>
      </c>
      <c r="AL12" s="55">
        <f>AL13+AL18</f>
        <v>751918.45000000007</v>
      </c>
      <c r="AM12" s="55">
        <f>AM13+AM18</f>
        <v>756864.49</v>
      </c>
      <c r="AN12" s="55">
        <v>764136.44</v>
      </c>
      <c r="AO12" s="56">
        <v>770444.71000000008</v>
      </c>
      <c r="AP12" s="9">
        <f>AP13+AP18</f>
        <v>774648.93</v>
      </c>
      <c r="AQ12" s="9">
        <f>AQ13+AQ18</f>
        <v>734520.33000000007</v>
      </c>
      <c r="AR12" s="9">
        <v>741153.45</v>
      </c>
      <c r="AS12" s="56">
        <f t="shared" ref="AS12:DD12" si="10">AS13+AS18</f>
        <v>739930.35</v>
      </c>
      <c r="AT12" s="56">
        <f t="shared" si="10"/>
        <v>744320.76364051003</v>
      </c>
      <c r="AU12" s="56">
        <f t="shared" si="10"/>
        <v>752048.66000000015</v>
      </c>
      <c r="AV12" s="56">
        <f t="shared" si="10"/>
        <v>752120.94000000006</v>
      </c>
      <c r="AW12" s="56">
        <f t="shared" si="10"/>
        <v>756040.60000000009</v>
      </c>
      <c r="AX12" s="56">
        <f t="shared" si="10"/>
        <v>755710.37000000011</v>
      </c>
      <c r="AY12" s="56">
        <f t="shared" si="10"/>
        <v>755977.66999999993</v>
      </c>
      <c r="AZ12" s="9">
        <f t="shared" si="10"/>
        <v>761313.31</v>
      </c>
      <c r="BA12" s="9">
        <f t="shared" si="10"/>
        <v>768920.34000000008</v>
      </c>
      <c r="BB12" s="9">
        <f t="shared" si="10"/>
        <v>769236.91999999993</v>
      </c>
      <c r="BC12" s="9">
        <f t="shared" si="10"/>
        <v>742119.77999999991</v>
      </c>
      <c r="BD12" s="9">
        <f t="shared" si="10"/>
        <v>742541.64999999991</v>
      </c>
      <c r="BE12" s="56">
        <f t="shared" si="10"/>
        <v>734643.94000000006</v>
      </c>
      <c r="BF12" s="56">
        <f t="shared" si="10"/>
        <v>742841.34</v>
      </c>
      <c r="BG12" s="56">
        <f t="shared" si="10"/>
        <v>743306.73</v>
      </c>
      <c r="BH12" s="63">
        <f t="shared" si="10"/>
        <v>743902.1</v>
      </c>
      <c r="BI12" s="63">
        <f t="shared" si="10"/>
        <v>744502.9</v>
      </c>
      <c r="BJ12" s="63">
        <f t="shared" si="10"/>
        <v>744506.94000000006</v>
      </c>
      <c r="BK12" s="63">
        <f t="shared" si="10"/>
        <v>761804.51</v>
      </c>
      <c r="BL12" s="63">
        <f t="shared" si="10"/>
        <v>764525.45000000007</v>
      </c>
      <c r="BM12" s="63">
        <f t="shared" si="10"/>
        <v>769573.68</v>
      </c>
      <c r="BN12" s="63">
        <f t="shared" si="10"/>
        <v>769693.41</v>
      </c>
      <c r="BO12" s="63">
        <f t="shared" si="10"/>
        <v>776579.46000000008</v>
      </c>
      <c r="BP12" s="63">
        <f t="shared" si="10"/>
        <v>777197.41</v>
      </c>
      <c r="BQ12" s="63">
        <f t="shared" si="10"/>
        <v>785443.7</v>
      </c>
      <c r="BR12" s="63">
        <f t="shared" si="10"/>
        <v>775639.09</v>
      </c>
      <c r="BS12" s="63">
        <f t="shared" si="10"/>
        <v>775983.23</v>
      </c>
      <c r="BT12" s="63">
        <f t="shared" si="10"/>
        <v>776483.16</v>
      </c>
      <c r="BU12" s="63">
        <f t="shared" si="10"/>
        <v>777109.83</v>
      </c>
      <c r="BV12" s="63">
        <f t="shared" si="10"/>
        <v>787038.18</v>
      </c>
      <c r="BW12" s="63">
        <f t="shared" si="10"/>
        <v>795225.02</v>
      </c>
      <c r="BX12" s="63">
        <f t="shared" si="10"/>
        <v>798667.18</v>
      </c>
      <c r="BY12" s="63">
        <f t="shared" si="10"/>
        <v>782623.05</v>
      </c>
      <c r="BZ12" s="63">
        <f t="shared" si="10"/>
        <v>782977.70000000007</v>
      </c>
      <c r="CA12" s="63">
        <f t="shared" si="10"/>
        <v>793771.25</v>
      </c>
      <c r="CB12" s="63">
        <f t="shared" si="10"/>
        <v>799592.55999999994</v>
      </c>
      <c r="CC12" s="63">
        <f t="shared" si="10"/>
        <v>800458.93</v>
      </c>
      <c r="CD12" s="63">
        <f t="shared" si="10"/>
        <v>806536.14354073012</v>
      </c>
      <c r="CE12" s="63">
        <f t="shared" si="10"/>
        <v>817720.55</v>
      </c>
      <c r="CF12" s="63">
        <f t="shared" si="10"/>
        <v>824074.03</v>
      </c>
      <c r="CG12" s="63">
        <f t="shared" si="10"/>
        <v>824540.93</v>
      </c>
      <c r="CH12" s="63">
        <f t="shared" si="10"/>
        <v>809437.47</v>
      </c>
      <c r="CI12" s="63">
        <f t="shared" si="10"/>
        <v>810089.73</v>
      </c>
      <c r="CJ12" s="64">
        <f t="shared" si="10"/>
        <v>806818.9</v>
      </c>
      <c r="CK12" s="64">
        <f t="shared" si="10"/>
        <v>812904.58000000007</v>
      </c>
      <c r="CL12" s="64">
        <f t="shared" si="10"/>
        <v>813223.79</v>
      </c>
      <c r="CM12" s="64">
        <f t="shared" si="10"/>
        <v>824734.38</v>
      </c>
      <c r="CN12" s="64">
        <f t="shared" si="10"/>
        <v>835918.23</v>
      </c>
      <c r="CO12" s="64">
        <f t="shared" si="10"/>
        <v>836635.53</v>
      </c>
      <c r="CP12" s="64">
        <f t="shared" si="10"/>
        <v>843759.94</v>
      </c>
      <c r="CQ12" s="64">
        <f t="shared" si="10"/>
        <v>844867.74</v>
      </c>
      <c r="CR12" s="64">
        <f t="shared" si="10"/>
        <v>845782.34000000008</v>
      </c>
      <c r="CS12" s="64">
        <f t="shared" si="10"/>
        <v>820278.15</v>
      </c>
      <c r="CT12" s="64">
        <f t="shared" si="10"/>
        <v>820333.17</v>
      </c>
      <c r="CU12" s="64">
        <f t="shared" si="10"/>
        <v>799313.26</v>
      </c>
      <c r="CV12" s="64">
        <f t="shared" si="10"/>
        <v>808759.02</v>
      </c>
      <c r="CW12" s="64">
        <f t="shared" si="10"/>
        <v>816927.27</v>
      </c>
      <c r="CX12" s="64">
        <f t="shared" si="10"/>
        <v>817174.75</v>
      </c>
      <c r="CY12" s="64">
        <f t="shared" si="10"/>
        <v>822938.52</v>
      </c>
      <c r="CZ12" s="64">
        <f t="shared" si="10"/>
        <v>826829.82300000009</v>
      </c>
      <c r="DA12" s="64">
        <f t="shared" si="10"/>
        <v>827720.96000000008</v>
      </c>
      <c r="DB12" s="64">
        <f t="shared" si="10"/>
        <v>828516.2300000001</v>
      </c>
      <c r="DC12" s="64">
        <f t="shared" si="10"/>
        <v>829157.4</v>
      </c>
      <c r="DD12" s="64">
        <f t="shared" si="10"/>
        <v>830152.14980864862</v>
      </c>
      <c r="DE12" s="64">
        <f t="shared" ref="DE12:DU12" si="11">DE13+DE18</f>
        <v>831126.72000000009</v>
      </c>
      <c r="DF12" s="64">
        <f t="shared" si="11"/>
        <v>831459.81</v>
      </c>
      <c r="DG12" s="64">
        <f t="shared" si="11"/>
        <v>831496.13</v>
      </c>
      <c r="DH12" s="64">
        <f t="shared" si="11"/>
        <v>831341.14</v>
      </c>
      <c r="DI12" s="64">
        <f t="shared" si="11"/>
        <v>839187</v>
      </c>
      <c r="DJ12" s="64">
        <f t="shared" si="11"/>
        <v>839330.07500000007</v>
      </c>
      <c r="DK12" s="64">
        <f t="shared" si="11"/>
        <v>845108.92999999993</v>
      </c>
      <c r="DL12" s="64">
        <f t="shared" si="11"/>
        <v>839362.46100000001</v>
      </c>
      <c r="DM12" s="64">
        <f t="shared" si="11"/>
        <v>840583.15</v>
      </c>
      <c r="DN12" s="64">
        <f t="shared" si="11"/>
        <v>827982.8600000001</v>
      </c>
      <c r="DO12" s="64">
        <f t="shared" si="11"/>
        <v>828163.28</v>
      </c>
      <c r="DP12" s="64">
        <f t="shared" si="11"/>
        <v>828719.66500000004</v>
      </c>
      <c r="DQ12" s="64">
        <f t="shared" si="11"/>
        <v>848114.42700000003</v>
      </c>
      <c r="DR12" s="64">
        <f t="shared" si="11"/>
        <v>868439.10000000009</v>
      </c>
      <c r="DS12" s="64">
        <f t="shared" si="11"/>
        <v>822516.98</v>
      </c>
      <c r="DT12" s="64">
        <f t="shared" si="11"/>
        <v>812426.12</v>
      </c>
      <c r="DU12" s="64">
        <f t="shared" si="11"/>
        <v>812426.12</v>
      </c>
      <c r="DV12" s="64">
        <f t="shared" ref="DV12:DW12" si="12">DV13+DV18</f>
        <v>825817.09</v>
      </c>
      <c r="DW12" s="64">
        <f t="shared" si="12"/>
        <v>837044.82000000007</v>
      </c>
      <c r="DX12" s="64">
        <f t="shared" ref="DX12:DY12" si="13">DX13+DX18</f>
        <v>850052.45000000007</v>
      </c>
      <c r="DY12" s="64">
        <f t="shared" si="13"/>
        <v>850463.76</v>
      </c>
      <c r="DZ12" s="64">
        <f t="shared" ref="DZ12:EA12" si="14">DZ13+DZ18</f>
        <v>865991.37</v>
      </c>
      <c r="EA12" s="64">
        <f t="shared" si="14"/>
        <v>881250.85</v>
      </c>
      <c r="EB12" s="64">
        <f t="shared" ref="EB12" si="15">EB13+EB18</f>
        <v>882340.78</v>
      </c>
      <c r="EC12" s="64">
        <f t="shared" ref="EC12:ED12" si="16">EC13+EC18</f>
        <v>920743.13</v>
      </c>
      <c r="ED12" s="64">
        <f t="shared" si="16"/>
        <v>959656.14</v>
      </c>
      <c r="EE12" s="64">
        <f t="shared" ref="EE12:EF12" si="17">EE13+EE18</f>
        <v>1001549.5330000001</v>
      </c>
      <c r="EF12" s="64">
        <f t="shared" si="17"/>
        <v>1025998.3119000001</v>
      </c>
      <c r="EG12" s="64">
        <f t="shared" ref="EG12:EH12" si="18">EG13+EG18</f>
        <v>1046268.7819000001</v>
      </c>
      <c r="EH12" s="64">
        <f t="shared" si="18"/>
        <v>1046789.643</v>
      </c>
    </row>
    <row r="13" spans="1:138" x14ac:dyDescent="0.35">
      <c r="A13" s="49" t="s">
        <v>68</v>
      </c>
      <c r="B13" s="65" t="s">
        <v>28</v>
      </c>
      <c r="C13" s="51" t="s">
        <v>45</v>
      </c>
      <c r="D13" s="61">
        <f>SUM(D14:D17)</f>
        <v>67094.789999999994</v>
      </c>
      <c r="E13" s="62">
        <f t="shared" ref="E13:AM13" si="19">SUM(E14:E17)</f>
        <v>66381.37</v>
      </c>
      <c r="F13" s="62">
        <f t="shared" si="19"/>
        <v>66384.69</v>
      </c>
      <c r="G13" s="62">
        <f t="shared" si="19"/>
        <v>64884.39</v>
      </c>
      <c r="H13" s="62">
        <f t="shared" si="19"/>
        <v>64884.39</v>
      </c>
      <c r="I13" s="62">
        <f t="shared" si="19"/>
        <v>70917.06</v>
      </c>
      <c r="J13" s="62">
        <f t="shared" si="19"/>
        <v>70959.520000000004</v>
      </c>
      <c r="K13" s="62">
        <f t="shared" si="19"/>
        <v>70964.850000000006</v>
      </c>
      <c r="L13" s="62">
        <f t="shared" si="19"/>
        <v>70991.17</v>
      </c>
      <c r="M13" s="62">
        <f t="shared" si="19"/>
        <v>71043.05</v>
      </c>
      <c r="N13" s="62">
        <f t="shared" si="19"/>
        <v>10175.209999999999</v>
      </c>
      <c r="O13" s="62">
        <f t="shared" si="19"/>
        <v>10184.83</v>
      </c>
      <c r="P13" s="62">
        <f t="shared" si="19"/>
        <v>10241.15</v>
      </c>
      <c r="Q13" s="62">
        <f t="shared" si="19"/>
        <v>82954.37000000001</v>
      </c>
      <c r="R13" s="62">
        <f t="shared" si="19"/>
        <v>83003.62000000001</v>
      </c>
      <c r="S13" s="62">
        <f t="shared" si="19"/>
        <v>83012.47</v>
      </c>
      <c r="T13" s="62">
        <f t="shared" si="19"/>
        <v>78152.850000000006</v>
      </c>
      <c r="U13" s="62">
        <f t="shared" si="19"/>
        <v>68491.26999999999</v>
      </c>
      <c r="V13" s="62">
        <f t="shared" si="19"/>
        <v>69012.87</v>
      </c>
      <c r="W13" s="62">
        <f t="shared" si="19"/>
        <v>73366.84</v>
      </c>
      <c r="X13" s="62">
        <f t="shared" si="19"/>
        <v>73379.31</v>
      </c>
      <c r="Y13" s="62">
        <f t="shared" si="19"/>
        <v>73379.31</v>
      </c>
      <c r="Z13" s="62">
        <f t="shared" si="19"/>
        <v>81098.820000000007</v>
      </c>
      <c r="AA13" s="62">
        <f t="shared" si="19"/>
        <v>81098.820000000007</v>
      </c>
      <c r="AB13" s="62">
        <f t="shared" si="19"/>
        <v>81698.820000000007</v>
      </c>
      <c r="AC13" s="62">
        <f t="shared" si="19"/>
        <v>17810.920000000002</v>
      </c>
      <c r="AD13" s="62">
        <f t="shared" si="19"/>
        <v>18210.920000000002</v>
      </c>
      <c r="AE13" s="62">
        <f t="shared" si="19"/>
        <v>76849.210000000006</v>
      </c>
      <c r="AF13" s="62">
        <f t="shared" si="19"/>
        <v>77329.16</v>
      </c>
      <c r="AG13" s="55">
        <f t="shared" si="19"/>
        <v>79454.16</v>
      </c>
      <c r="AH13" s="55">
        <f t="shared" si="19"/>
        <v>79454.16</v>
      </c>
      <c r="AI13" s="55">
        <f t="shared" si="19"/>
        <v>75665.58</v>
      </c>
      <c r="AJ13" s="55">
        <f t="shared" si="19"/>
        <v>75664.09</v>
      </c>
      <c r="AK13" s="55">
        <f t="shared" si="19"/>
        <v>75664.09</v>
      </c>
      <c r="AL13" s="55">
        <f t="shared" si="19"/>
        <v>68294.73</v>
      </c>
      <c r="AM13" s="55">
        <f t="shared" si="19"/>
        <v>68211.83</v>
      </c>
      <c r="AN13" s="55">
        <v>68411.05</v>
      </c>
      <c r="AO13" s="56">
        <v>68711.05</v>
      </c>
      <c r="AP13" s="9">
        <f>SUM(AP14:AP17)</f>
        <v>68909.48</v>
      </c>
      <c r="AQ13" s="9">
        <f>SUM(AQ14:AQ17)</f>
        <v>51093.88</v>
      </c>
      <c r="AR13" s="9">
        <v>51293.079999999994</v>
      </c>
      <c r="AS13" s="56">
        <f t="shared" ref="AS13:DD13" si="20">SUM(AS14:AS17)</f>
        <v>57968.590000000004</v>
      </c>
      <c r="AT13" s="56">
        <f t="shared" si="20"/>
        <v>58066.99</v>
      </c>
      <c r="AU13" s="56">
        <f t="shared" si="20"/>
        <v>58164.91</v>
      </c>
      <c r="AV13" s="56">
        <f t="shared" si="20"/>
        <v>57920.100000000006</v>
      </c>
      <c r="AW13" s="56">
        <f t="shared" si="20"/>
        <v>58620.100000000006</v>
      </c>
      <c r="AX13" s="56">
        <f t="shared" si="20"/>
        <v>58499.060000000005</v>
      </c>
      <c r="AY13" s="56">
        <f t="shared" si="20"/>
        <v>58741.19</v>
      </c>
      <c r="AZ13" s="9">
        <f t="shared" si="20"/>
        <v>58741.19</v>
      </c>
      <c r="BA13" s="9">
        <f t="shared" si="20"/>
        <v>58841.19</v>
      </c>
      <c r="BB13" s="9">
        <f t="shared" si="20"/>
        <v>58841.19</v>
      </c>
      <c r="BC13" s="9">
        <f t="shared" si="20"/>
        <v>18417.7</v>
      </c>
      <c r="BD13" s="9">
        <f t="shared" si="20"/>
        <v>18517.7</v>
      </c>
      <c r="BE13" s="56">
        <f t="shared" si="20"/>
        <v>10102</v>
      </c>
      <c r="BF13" s="56">
        <f t="shared" si="20"/>
        <v>99699.12</v>
      </c>
      <c r="BG13" s="56">
        <f t="shared" si="20"/>
        <v>99799.12</v>
      </c>
      <c r="BH13" s="63">
        <f t="shared" si="20"/>
        <v>99799.12</v>
      </c>
      <c r="BI13" s="63">
        <f t="shared" si="20"/>
        <v>99799.12</v>
      </c>
      <c r="BJ13" s="63">
        <f t="shared" si="20"/>
        <v>99797.119999999995</v>
      </c>
      <c r="BK13" s="63">
        <f t="shared" si="20"/>
        <v>99797.119999999995</v>
      </c>
      <c r="BL13" s="63">
        <f t="shared" si="20"/>
        <v>99797.119999999995</v>
      </c>
      <c r="BM13" s="63">
        <f t="shared" si="20"/>
        <v>126292.12</v>
      </c>
      <c r="BN13" s="63">
        <f t="shared" si="20"/>
        <v>126292.12</v>
      </c>
      <c r="BO13" s="63">
        <f t="shared" si="20"/>
        <v>126292.12</v>
      </c>
      <c r="BP13" s="63">
        <f t="shared" si="20"/>
        <v>126292.12</v>
      </c>
      <c r="BQ13" s="63">
        <f t="shared" si="20"/>
        <v>126342.33</v>
      </c>
      <c r="BR13" s="63">
        <f t="shared" si="20"/>
        <v>36845.21</v>
      </c>
      <c r="BS13" s="63">
        <f t="shared" si="20"/>
        <v>36845.21</v>
      </c>
      <c r="BT13" s="63">
        <f t="shared" si="20"/>
        <v>36845.21</v>
      </c>
      <c r="BU13" s="63">
        <f t="shared" si="20"/>
        <v>36845.21</v>
      </c>
      <c r="BV13" s="63">
        <f t="shared" si="20"/>
        <v>52559.47</v>
      </c>
      <c r="BW13" s="63">
        <f t="shared" si="20"/>
        <v>52509.19</v>
      </c>
      <c r="BX13" s="63">
        <f t="shared" si="20"/>
        <v>56509.22</v>
      </c>
      <c r="BY13" s="63">
        <f t="shared" si="20"/>
        <v>30014.240000000002</v>
      </c>
      <c r="BZ13" s="63">
        <f t="shared" si="20"/>
        <v>30014.26</v>
      </c>
      <c r="CA13" s="63">
        <f t="shared" si="20"/>
        <v>30014.32</v>
      </c>
      <c r="CB13" s="63">
        <f t="shared" si="20"/>
        <v>30016.44</v>
      </c>
      <c r="CC13" s="63">
        <f t="shared" si="20"/>
        <v>30016.52</v>
      </c>
      <c r="CD13" s="63">
        <f t="shared" si="20"/>
        <v>30016.52</v>
      </c>
      <c r="CE13" s="63">
        <f t="shared" si="20"/>
        <v>30016.74</v>
      </c>
      <c r="CF13" s="63">
        <f t="shared" si="20"/>
        <v>30016.78</v>
      </c>
      <c r="CG13" s="63">
        <f t="shared" si="20"/>
        <v>72905.14</v>
      </c>
      <c r="CH13" s="63">
        <f t="shared" si="20"/>
        <v>57190.38</v>
      </c>
      <c r="CI13" s="63">
        <f t="shared" si="20"/>
        <v>104760.23</v>
      </c>
      <c r="CJ13" s="64">
        <f t="shared" si="20"/>
        <v>100569.64</v>
      </c>
      <c r="CK13" s="64">
        <f t="shared" si="20"/>
        <v>100569.64</v>
      </c>
      <c r="CL13" s="64">
        <f t="shared" si="20"/>
        <v>100569.64</v>
      </c>
      <c r="CM13" s="64">
        <f t="shared" si="20"/>
        <v>100569.64</v>
      </c>
      <c r="CN13" s="64">
        <f t="shared" si="20"/>
        <v>100567.59</v>
      </c>
      <c r="CO13" s="64">
        <f t="shared" si="20"/>
        <v>100567.59</v>
      </c>
      <c r="CP13" s="64">
        <f t="shared" si="20"/>
        <v>100758.18</v>
      </c>
      <c r="CQ13" s="64">
        <f t="shared" si="20"/>
        <v>100758.19</v>
      </c>
      <c r="CR13" s="64">
        <f t="shared" si="20"/>
        <v>100758.18</v>
      </c>
      <c r="CS13" s="64">
        <f t="shared" si="20"/>
        <v>57869.85</v>
      </c>
      <c r="CT13" s="64">
        <f t="shared" si="20"/>
        <v>57935.64</v>
      </c>
      <c r="CU13" s="64">
        <f t="shared" si="20"/>
        <v>10365.790000000001</v>
      </c>
      <c r="CV13" s="64">
        <f t="shared" si="20"/>
        <v>15389.33</v>
      </c>
      <c r="CW13" s="64">
        <f t="shared" si="20"/>
        <v>15389.33</v>
      </c>
      <c r="CX13" s="64">
        <f t="shared" si="20"/>
        <v>15389.33</v>
      </c>
      <c r="CY13" s="64">
        <f t="shared" si="20"/>
        <v>15389.33</v>
      </c>
      <c r="CZ13" s="64">
        <f t="shared" si="20"/>
        <v>29036.546999999999</v>
      </c>
      <c r="DA13" s="64">
        <f t="shared" si="20"/>
        <v>29036.55</v>
      </c>
      <c r="DB13" s="64">
        <f t="shared" si="20"/>
        <v>52741.05</v>
      </c>
      <c r="DC13" s="64">
        <f t="shared" si="20"/>
        <v>52741.05</v>
      </c>
      <c r="DD13" s="64">
        <f t="shared" si="20"/>
        <v>52741.047793999998</v>
      </c>
      <c r="DE13" s="64">
        <f t="shared" ref="DE13:DU13" si="21">SUM(DE14:DE17)</f>
        <v>52741.05</v>
      </c>
      <c r="DF13" s="64">
        <f t="shared" si="21"/>
        <v>66799.320000000007</v>
      </c>
      <c r="DG13" s="64">
        <f t="shared" si="21"/>
        <v>158678.73000000001</v>
      </c>
      <c r="DH13" s="64">
        <f t="shared" si="21"/>
        <v>191402.52</v>
      </c>
      <c r="DI13" s="64">
        <f t="shared" si="21"/>
        <v>191319.48</v>
      </c>
      <c r="DJ13" s="64">
        <f t="shared" si="21"/>
        <v>191299.851</v>
      </c>
      <c r="DK13" s="64">
        <f t="shared" si="21"/>
        <v>191410.69</v>
      </c>
      <c r="DL13" s="64">
        <f t="shared" si="21"/>
        <v>177899.94100000002</v>
      </c>
      <c r="DM13" s="64">
        <f t="shared" si="21"/>
        <v>178104.77</v>
      </c>
      <c r="DN13" s="64">
        <f t="shared" si="21"/>
        <v>154579.28</v>
      </c>
      <c r="DO13" s="64">
        <f t="shared" si="21"/>
        <v>154567.95000000001</v>
      </c>
      <c r="DP13" s="64">
        <f t="shared" si="21"/>
        <v>154633.12</v>
      </c>
      <c r="DQ13" s="64">
        <f t="shared" si="21"/>
        <v>154787.09299999999</v>
      </c>
      <c r="DR13" s="64">
        <f t="shared" si="21"/>
        <v>140046.87</v>
      </c>
      <c r="DS13" s="64">
        <f t="shared" si="21"/>
        <v>48124</v>
      </c>
      <c r="DT13" s="64">
        <f t="shared" si="21"/>
        <v>10300</v>
      </c>
      <c r="DU13" s="64">
        <f t="shared" si="21"/>
        <v>10300</v>
      </c>
      <c r="DV13" s="64">
        <f t="shared" ref="DV13:DW13" si="22">SUM(DV14:DV17)</f>
        <v>10300</v>
      </c>
      <c r="DW13" s="64">
        <f t="shared" si="22"/>
        <v>10300</v>
      </c>
      <c r="DX13" s="64">
        <f t="shared" ref="DX13:DY13" si="23">SUM(DX14:DX17)</f>
        <v>10300</v>
      </c>
      <c r="DY13" s="64">
        <f t="shared" si="23"/>
        <v>28926.57</v>
      </c>
      <c r="DZ13" s="64">
        <f t="shared" ref="DZ13:EA13" si="24">SUM(DZ14:DZ17)</f>
        <v>28926.57</v>
      </c>
      <c r="EA13" s="64">
        <f t="shared" si="24"/>
        <v>28926.57</v>
      </c>
      <c r="EB13" s="64">
        <f t="shared" ref="EB13" si="25">SUM(EB14:EB17)</f>
        <v>28926.57</v>
      </c>
      <c r="EC13" s="64">
        <f t="shared" ref="EC13:ED13" si="26">SUM(EC14:EC17)</f>
        <v>28926.57</v>
      </c>
      <c r="ED13" s="64">
        <f t="shared" si="26"/>
        <v>28928.57</v>
      </c>
      <c r="EE13" s="64">
        <f t="shared" ref="EE13:EF13" si="27">SUM(EE14:EE17)</f>
        <v>28928.573</v>
      </c>
      <c r="EF13" s="64">
        <f t="shared" si="27"/>
        <v>28709.401900000001</v>
      </c>
      <c r="EG13" s="64">
        <f t="shared" ref="EG13:EH13" si="28">SUM(EG14:EG17)</f>
        <v>28710.401900000001</v>
      </c>
      <c r="EH13" s="64">
        <f t="shared" si="28"/>
        <v>28709.402999999998</v>
      </c>
    </row>
    <row r="14" spans="1:138" x14ac:dyDescent="0.35">
      <c r="A14" s="49" t="s">
        <v>69</v>
      </c>
      <c r="B14" s="66" t="s">
        <v>29</v>
      </c>
      <c r="C14" s="51" t="s">
        <v>46</v>
      </c>
      <c r="D14" s="67">
        <v>62649.09</v>
      </c>
      <c r="E14" s="68">
        <v>61933.86</v>
      </c>
      <c r="F14" s="68">
        <v>61933.86</v>
      </c>
      <c r="G14" s="68">
        <v>60431.87</v>
      </c>
      <c r="H14" s="68">
        <v>60431.87</v>
      </c>
      <c r="I14" s="68">
        <v>60428.07</v>
      </c>
      <c r="J14" s="68">
        <v>60428.07</v>
      </c>
      <c r="K14" s="68">
        <v>60428.07</v>
      </c>
      <c r="L14" s="68">
        <v>60428.07</v>
      </c>
      <c r="M14" s="68">
        <v>60428.07</v>
      </c>
      <c r="N14" s="68">
        <v>3.37</v>
      </c>
      <c r="O14" s="68">
        <v>3.37</v>
      </c>
      <c r="P14" s="69">
        <v>3.37</v>
      </c>
      <c r="Q14" s="69">
        <v>72602.27</v>
      </c>
      <c r="R14" s="69">
        <v>72602.27</v>
      </c>
      <c r="S14" s="69">
        <v>72602.27</v>
      </c>
      <c r="T14" s="69">
        <v>67691.27</v>
      </c>
      <c r="U14" s="70">
        <v>64491.27</v>
      </c>
      <c r="V14" s="70">
        <v>64491.27</v>
      </c>
      <c r="W14" s="70">
        <v>68491.27</v>
      </c>
      <c r="X14" s="70">
        <v>68491.27</v>
      </c>
      <c r="Y14" s="70">
        <v>68491.27</v>
      </c>
      <c r="Z14" s="3">
        <v>75978.77</v>
      </c>
      <c r="AA14" s="70">
        <v>75978.77</v>
      </c>
      <c r="AB14" s="70">
        <v>75978.77</v>
      </c>
      <c r="AC14" s="70">
        <v>11490.87</v>
      </c>
      <c r="AD14" s="70">
        <v>11490.87</v>
      </c>
      <c r="AE14" s="70">
        <v>69929.16</v>
      </c>
      <c r="AF14" s="70">
        <v>69929.16</v>
      </c>
      <c r="AG14" s="70">
        <v>69929.16</v>
      </c>
      <c r="AH14" s="70">
        <v>69929.16</v>
      </c>
      <c r="AI14" s="70">
        <v>65929.16</v>
      </c>
      <c r="AJ14" s="70">
        <v>65929.16</v>
      </c>
      <c r="AK14" s="70">
        <v>65929.16</v>
      </c>
      <c r="AL14" s="70">
        <v>58561.33</v>
      </c>
      <c r="AM14" s="70">
        <v>58561.33</v>
      </c>
      <c r="AN14" s="70">
        <v>58561.33</v>
      </c>
      <c r="AO14" s="71">
        <v>58561.33</v>
      </c>
      <c r="AP14" s="70">
        <v>58561.33</v>
      </c>
      <c r="AQ14" s="12">
        <v>40646.519999999997</v>
      </c>
      <c r="AR14" s="12">
        <v>40646.519999999997</v>
      </c>
      <c r="AS14" s="72">
        <v>49062.22</v>
      </c>
      <c r="AT14" s="72">
        <v>49062.22</v>
      </c>
      <c r="AU14" s="72">
        <v>49062.22</v>
      </c>
      <c r="AV14" s="72">
        <v>49062.22</v>
      </c>
      <c r="AW14" s="72">
        <v>49062.22</v>
      </c>
      <c r="AX14" s="72">
        <v>48941.19</v>
      </c>
      <c r="AY14" s="72">
        <v>48941.19</v>
      </c>
      <c r="AZ14" s="6">
        <v>48941.19</v>
      </c>
      <c r="BA14" s="6">
        <v>48941.19</v>
      </c>
      <c r="BB14" s="6">
        <v>48941.19</v>
      </c>
      <c r="BC14" s="6">
        <v>8417.7000000000007</v>
      </c>
      <c r="BD14" s="6">
        <v>8417.7000000000007</v>
      </c>
      <c r="BE14" s="71">
        <v>2</v>
      </c>
      <c r="BF14" s="71">
        <v>89499.12</v>
      </c>
      <c r="BG14" s="71">
        <v>89499.12</v>
      </c>
      <c r="BH14" s="73">
        <v>89499.12</v>
      </c>
      <c r="BI14" s="73">
        <v>89499.12</v>
      </c>
      <c r="BJ14" s="73">
        <v>89497.12</v>
      </c>
      <c r="BK14" s="73">
        <v>89497.12</v>
      </c>
      <c r="BL14" s="73">
        <v>89497.12</v>
      </c>
      <c r="BM14" s="73">
        <v>115992.12</v>
      </c>
      <c r="BN14" s="73">
        <v>115992.12</v>
      </c>
      <c r="BO14" s="73">
        <v>115992.12</v>
      </c>
      <c r="BP14" s="73">
        <v>115992.12</v>
      </c>
      <c r="BQ14" s="73">
        <v>115992.12</v>
      </c>
      <c r="BR14" s="73">
        <v>26495</v>
      </c>
      <c r="BS14" s="73">
        <v>26495</v>
      </c>
      <c r="BT14" s="73">
        <v>26495</v>
      </c>
      <c r="BU14" s="73">
        <v>26495</v>
      </c>
      <c r="BV14" s="73">
        <v>42209.26</v>
      </c>
      <c r="BW14" s="73">
        <v>42209.19</v>
      </c>
      <c r="BX14" s="73">
        <v>46209.22</v>
      </c>
      <c r="BY14" s="73">
        <v>19714.240000000002</v>
      </c>
      <c r="BZ14" s="73">
        <v>19714.259999999998</v>
      </c>
      <c r="CA14" s="73">
        <v>19714.32</v>
      </c>
      <c r="CB14" s="73">
        <v>19716.439999999999</v>
      </c>
      <c r="CC14" s="73">
        <v>19716.52</v>
      </c>
      <c r="CD14" s="73">
        <v>19716.52</v>
      </c>
      <c r="CE14" s="73">
        <v>19716.740000000002</v>
      </c>
      <c r="CF14" s="73">
        <v>19716.78</v>
      </c>
      <c r="CG14" s="73">
        <v>62605.14</v>
      </c>
      <c r="CH14" s="73">
        <v>46890.38</v>
      </c>
      <c r="CI14" s="73">
        <v>94460.23</v>
      </c>
      <c r="CJ14" s="73">
        <v>90460.23</v>
      </c>
      <c r="CK14" s="73">
        <v>90460.23</v>
      </c>
      <c r="CL14" s="73">
        <v>90460.23</v>
      </c>
      <c r="CM14" s="73">
        <v>90460.23</v>
      </c>
      <c r="CN14" s="74">
        <v>90458.18</v>
      </c>
      <c r="CO14" s="74">
        <v>90458.18</v>
      </c>
      <c r="CP14" s="74">
        <v>90458.18</v>
      </c>
      <c r="CQ14" s="74">
        <v>90458.19</v>
      </c>
      <c r="CR14" s="74">
        <v>90458.18</v>
      </c>
      <c r="CS14" s="74">
        <v>47569.85</v>
      </c>
      <c r="CT14" s="74">
        <v>47635.64</v>
      </c>
      <c r="CU14" s="74">
        <v>65.790000000000006</v>
      </c>
      <c r="CV14" s="74">
        <v>5089.33</v>
      </c>
      <c r="CW14" s="74">
        <v>5089.33</v>
      </c>
      <c r="CX14" s="74">
        <v>5089.33</v>
      </c>
      <c r="CY14" s="74">
        <v>5089.33</v>
      </c>
      <c r="CZ14" s="74">
        <v>18736.546999999999</v>
      </c>
      <c r="DA14" s="74">
        <v>18736.55</v>
      </c>
      <c r="DB14" s="74">
        <v>42441.05</v>
      </c>
      <c r="DC14" s="74">
        <v>42441.05</v>
      </c>
      <c r="DD14" s="74">
        <v>42441.047793999998</v>
      </c>
      <c r="DE14" s="74">
        <v>42441.05</v>
      </c>
      <c r="DF14" s="74">
        <v>56499.32</v>
      </c>
      <c r="DG14" s="74">
        <v>148378.73000000001</v>
      </c>
      <c r="DH14" s="74">
        <v>181102.52</v>
      </c>
      <c r="DI14" s="74">
        <v>181019.48</v>
      </c>
      <c r="DJ14" s="74">
        <v>180999.851</v>
      </c>
      <c r="DK14" s="74">
        <v>181110.69</v>
      </c>
      <c r="DL14" s="74">
        <v>167599.94100000002</v>
      </c>
      <c r="DM14" s="74">
        <v>167804.77</v>
      </c>
      <c r="DN14" s="74">
        <v>144279.28</v>
      </c>
      <c r="DO14" s="74">
        <v>144267.95000000001</v>
      </c>
      <c r="DP14" s="74">
        <v>144333.12</v>
      </c>
      <c r="DQ14" s="74">
        <v>144487.09299999999</v>
      </c>
      <c r="DR14" s="74">
        <v>129746.87</v>
      </c>
      <c r="DS14" s="74">
        <v>37824</v>
      </c>
      <c r="DT14" s="97">
        <v>0</v>
      </c>
      <c r="DU14" s="97">
        <v>0</v>
      </c>
      <c r="DV14" s="97">
        <v>0</v>
      </c>
      <c r="DW14" s="97">
        <v>0</v>
      </c>
      <c r="DX14" s="97">
        <v>0</v>
      </c>
      <c r="DY14" s="97">
        <v>18626.57</v>
      </c>
      <c r="DZ14" s="97">
        <v>18626.57</v>
      </c>
      <c r="EA14" s="97">
        <v>18626.57</v>
      </c>
      <c r="EB14" s="97">
        <v>18626.57</v>
      </c>
      <c r="EC14" s="97">
        <v>18626.57</v>
      </c>
      <c r="ED14" s="97">
        <v>18628.57</v>
      </c>
      <c r="EE14" s="97">
        <v>18628.573</v>
      </c>
      <c r="EF14" s="97">
        <v>18628.573</v>
      </c>
      <c r="EG14" s="97">
        <v>18628.573</v>
      </c>
      <c r="EH14" s="97">
        <v>18628.573</v>
      </c>
    </row>
    <row r="15" spans="1:138" x14ac:dyDescent="0.35">
      <c r="A15" s="49" t="s">
        <v>70</v>
      </c>
      <c r="B15" s="66" t="s">
        <v>30</v>
      </c>
      <c r="C15" s="51" t="s">
        <v>47</v>
      </c>
      <c r="D15" s="67">
        <v>445.7</v>
      </c>
      <c r="E15" s="68">
        <v>447.51</v>
      </c>
      <c r="F15" s="68">
        <v>450.83</v>
      </c>
      <c r="G15" s="68">
        <v>452.52</v>
      </c>
      <c r="H15" s="68">
        <v>452.52</v>
      </c>
      <c r="I15" s="68">
        <v>6488.99</v>
      </c>
      <c r="J15" s="68">
        <v>6531.45</v>
      </c>
      <c r="K15" s="68">
        <v>6536.78</v>
      </c>
      <c r="L15" s="68">
        <v>6563.1</v>
      </c>
      <c r="M15" s="68">
        <v>6614.98</v>
      </c>
      <c r="N15" s="68">
        <v>6171.84</v>
      </c>
      <c r="O15" s="68">
        <v>6181.46</v>
      </c>
      <c r="P15" s="69">
        <v>6237.78</v>
      </c>
      <c r="Q15" s="69">
        <v>6352.1</v>
      </c>
      <c r="R15" s="69">
        <v>6401.35</v>
      </c>
      <c r="S15" s="69">
        <v>6410.2</v>
      </c>
      <c r="T15" s="69">
        <v>6461.58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0</v>
      </c>
      <c r="AM15" s="70">
        <v>0</v>
      </c>
      <c r="AN15" s="70">
        <v>0</v>
      </c>
      <c r="AO15" s="70">
        <v>0</v>
      </c>
      <c r="AP15" s="70">
        <v>0</v>
      </c>
      <c r="AQ15" s="75">
        <v>0</v>
      </c>
      <c r="AR15" s="75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2">
        <v>0</v>
      </c>
      <c r="AY15" s="72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71">
        <v>0</v>
      </c>
      <c r="BF15" s="71">
        <v>0</v>
      </c>
      <c r="BG15" s="71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4">
        <v>0</v>
      </c>
      <c r="CO15" s="74">
        <v>0</v>
      </c>
      <c r="CP15" s="74">
        <v>0</v>
      </c>
      <c r="CQ15" s="74">
        <v>0</v>
      </c>
      <c r="CR15" s="74">
        <v>0</v>
      </c>
      <c r="CS15" s="74">
        <v>0</v>
      </c>
      <c r="CT15" s="74">
        <v>0</v>
      </c>
      <c r="CU15" s="74">
        <v>0</v>
      </c>
      <c r="CV15" s="74">
        <v>0</v>
      </c>
      <c r="CW15" s="74">
        <v>0</v>
      </c>
      <c r="CX15" s="74">
        <v>0</v>
      </c>
      <c r="CY15" s="74">
        <v>0</v>
      </c>
      <c r="CZ15" s="74">
        <v>0</v>
      </c>
      <c r="DA15" s="74">
        <v>0</v>
      </c>
      <c r="DB15" s="74">
        <v>0</v>
      </c>
      <c r="DC15" s="74">
        <v>0</v>
      </c>
      <c r="DD15" s="74">
        <v>0</v>
      </c>
      <c r="DE15" s="74">
        <v>0</v>
      </c>
      <c r="DF15" s="74">
        <v>0</v>
      </c>
      <c r="DG15" s="74">
        <v>0</v>
      </c>
      <c r="DH15" s="74">
        <v>0</v>
      </c>
      <c r="DI15" s="74">
        <v>0</v>
      </c>
      <c r="DJ15" s="74">
        <v>0</v>
      </c>
      <c r="DK15" s="74">
        <v>0</v>
      </c>
      <c r="DL15" s="74">
        <v>0</v>
      </c>
      <c r="DM15" s="74">
        <v>0</v>
      </c>
      <c r="DN15" s="74">
        <v>0</v>
      </c>
      <c r="DO15" s="74">
        <v>0</v>
      </c>
      <c r="DP15" s="74">
        <v>0</v>
      </c>
      <c r="DQ15" s="74">
        <v>0</v>
      </c>
      <c r="DR15" s="74">
        <v>0</v>
      </c>
      <c r="DS15" s="74">
        <v>0</v>
      </c>
      <c r="DT15" s="97">
        <v>0</v>
      </c>
      <c r="DU15" s="97">
        <v>0</v>
      </c>
      <c r="DV15" s="97">
        <v>0</v>
      </c>
      <c r="DW15" s="97">
        <v>0</v>
      </c>
      <c r="DX15" s="97">
        <v>0</v>
      </c>
      <c r="DY15" s="97">
        <v>0</v>
      </c>
      <c r="DZ15" s="97">
        <v>0</v>
      </c>
      <c r="EA15" s="97">
        <v>0</v>
      </c>
      <c r="EB15" s="74">
        <v>0</v>
      </c>
      <c r="EC15" s="74">
        <v>0</v>
      </c>
      <c r="ED15" s="74">
        <v>0</v>
      </c>
      <c r="EE15" s="74">
        <v>0</v>
      </c>
      <c r="EF15" s="74">
        <v>0</v>
      </c>
      <c r="EG15" s="74">
        <v>0</v>
      </c>
      <c r="EH15" s="74">
        <v>0</v>
      </c>
    </row>
    <row r="16" spans="1:138" x14ac:dyDescent="0.35">
      <c r="A16" s="49" t="s">
        <v>71</v>
      </c>
      <c r="B16" s="66" t="s">
        <v>31</v>
      </c>
      <c r="C16" s="51" t="s">
        <v>48</v>
      </c>
      <c r="D16" s="67">
        <v>4000</v>
      </c>
      <c r="E16" s="68">
        <v>4000</v>
      </c>
      <c r="F16" s="68">
        <v>4000</v>
      </c>
      <c r="G16" s="68">
        <v>4000</v>
      </c>
      <c r="H16" s="68">
        <v>4000</v>
      </c>
      <c r="I16" s="68">
        <v>4000</v>
      </c>
      <c r="J16" s="68">
        <v>4000</v>
      </c>
      <c r="K16" s="68">
        <v>4000</v>
      </c>
      <c r="L16" s="68">
        <v>4000</v>
      </c>
      <c r="M16" s="68">
        <v>4000</v>
      </c>
      <c r="N16" s="68">
        <v>4000</v>
      </c>
      <c r="O16" s="68">
        <v>4000</v>
      </c>
      <c r="P16" s="69">
        <v>4000</v>
      </c>
      <c r="Q16" s="69">
        <v>4000</v>
      </c>
      <c r="R16" s="69">
        <v>4000</v>
      </c>
      <c r="S16" s="69">
        <v>4000</v>
      </c>
      <c r="T16" s="69">
        <v>4000</v>
      </c>
      <c r="U16" s="70">
        <v>4000</v>
      </c>
      <c r="V16" s="70">
        <v>4521.6000000000004</v>
      </c>
      <c r="W16" s="70">
        <v>4875.57</v>
      </c>
      <c r="X16" s="70">
        <v>4888.04</v>
      </c>
      <c r="Y16" s="70">
        <v>4888.04</v>
      </c>
      <c r="Z16" s="3">
        <v>5120.05</v>
      </c>
      <c r="AA16" s="70">
        <v>5120.05</v>
      </c>
      <c r="AB16" s="70">
        <v>5720.05</v>
      </c>
      <c r="AC16" s="70">
        <v>6320.05</v>
      </c>
      <c r="AD16" s="70">
        <v>6720.05</v>
      </c>
      <c r="AE16" s="70">
        <v>6920.05</v>
      </c>
      <c r="AF16" s="70">
        <v>7400</v>
      </c>
      <c r="AG16" s="70">
        <v>7600</v>
      </c>
      <c r="AH16" s="70">
        <v>7600</v>
      </c>
      <c r="AI16" s="70">
        <v>7800</v>
      </c>
      <c r="AJ16" s="70">
        <v>7800</v>
      </c>
      <c r="AK16" s="70">
        <v>7800</v>
      </c>
      <c r="AL16" s="70">
        <v>7800</v>
      </c>
      <c r="AM16" s="70">
        <v>7800</v>
      </c>
      <c r="AN16" s="70">
        <v>8000</v>
      </c>
      <c r="AO16" s="71">
        <v>8300</v>
      </c>
      <c r="AP16" s="70">
        <v>8500</v>
      </c>
      <c r="AQ16" s="12">
        <v>8600</v>
      </c>
      <c r="AR16" s="12">
        <v>8800</v>
      </c>
      <c r="AS16" s="72">
        <v>8900</v>
      </c>
      <c r="AT16" s="72">
        <v>9000</v>
      </c>
      <c r="AU16" s="72">
        <v>9100</v>
      </c>
      <c r="AV16" s="72">
        <v>8855.19</v>
      </c>
      <c r="AW16" s="72">
        <v>9555.19</v>
      </c>
      <c r="AX16" s="72">
        <v>9555.19</v>
      </c>
      <c r="AY16" s="72">
        <v>9800</v>
      </c>
      <c r="AZ16" s="6">
        <v>9800</v>
      </c>
      <c r="BA16" s="6">
        <v>9900</v>
      </c>
      <c r="BB16" s="6">
        <v>9900</v>
      </c>
      <c r="BC16" s="6">
        <v>10000</v>
      </c>
      <c r="BD16" s="6">
        <v>10100</v>
      </c>
      <c r="BE16" s="71">
        <v>10100</v>
      </c>
      <c r="BF16" s="71">
        <v>10200</v>
      </c>
      <c r="BG16" s="71">
        <v>10300</v>
      </c>
      <c r="BH16" s="73">
        <v>10300</v>
      </c>
      <c r="BI16" s="73">
        <v>10300</v>
      </c>
      <c r="BJ16" s="73">
        <v>10300</v>
      </c>
      <c r="BK16" s="73">
        <v>10300</v>
      </c>
      <c r="BL16" s="73">
        <v>10300</v>
      </c>
      <c r="BM16" s="73">
        <v>10300</v>
      </c>
      <c r="BN16" s="73">
        <v>10300</v>
      </c>
      <c r="BO16" s="73">
        <v>10300</v>
      </c>
      <c r="BP16" s="73">
        <v>10300</v>
      </c>
      <c r="BQ16" s="73">
        <v>10300</v>
      </c>
      <c r="BR16" s="73">
        <v>10300</v>
      </c>
      <c r="BS16" s="73">
        <v>10300</v>
      </c>
      <c r="BT16" s="73">
        <v>10300</v>
      </c>
      <c r="BU16" s="73">
        <v>10300</v>
      </c>
      <c r="BV16" s="73">
        <v>10300</v>
      </c>
      <c r="BW16" s="73">
        <v>10300</v>
      </c>
      <c r="BX16" s="73">
        <v>10300</v>
      </c>
      <c r="BY16" s="73">
        <v>10300</v>
      </c>
      <c r="BZ16" s="73">
        <v>10300</v>
      </c>
      <c r="CA16" s="73">
        <v>10300</v>
      </c>
      <c r="CB16" s="73">
        <v>10300</v>
      </c>
      <c r="CC16" s="73">
        <v>10300</v>
      </c>
      <c r="CD16" s="73">
        <v>10300</v>
      </c>
      <c r="CE16" s="73">
        <v>10300</v>
      </c>
      <c r="CF16" s="73">
        <v>10300</v>
      </c>
      <c r="CG16" s="73">
        <v>10300</v>
      </c>
      <c r="CH16" s="73">
        <v>10300</v>
      </c>
      <c r="CI16" s="73">
        <v>10300</v>
      </c>
      <c r="CJ16" s="74">
        <v>10109.41</v>
      </c>
      <c r="CK16" s="74">
        <v>10109.41</v>
      </c>
      <c r="CL16" s="74">
        <v>10109.41</v>
      </c>
      <c r="CM16" s="74">
        <v>10109.41</v>
      </c>
      <c r="CN16" s="74">
        <v>10109.41</v>
      </c>
      <c r="CO16" s="74">
        <v>10109.41</v>
      </c>
      <c r="CP16" s="74">
        <v>10300</v>
      </c>
      <c r="CQ16" s="74">
        <v>10300</v>
      </c>
      <c r="CR16" s="74">
        <v>10300</v>
      </c>
      <c r="CS16" s="74">
        <v>10300</v>
      </c>
      <c r="CT16" s="74">
        <v>10300</v>
      </c>
      <c r="CU16" s="74">
        <v>10300</v>
      </c>
      <c r="CV16" s="74">
        <v>10300</v>
      </c>
      <c r="CW16" s="74">
        <v>10300</v>
      </c>
      <c r="CX16" s="74">
        <v>10300</v>
      </c>
      <c r="CY16" s="74">
        <v>10300</v>
      </c>
      <c r="CZ16" s="74">
        <v>10300</v>
      </c>
      <c r="DA16" s="74">
        <v>10300</v>
      </c>
      <c r="DB16" s="74">
        <v>10300</v>
      </c>
      <c r="DC16" s="74">
        <v>10300</v>
      </c>
      <c r="DD16" s="74">
        <v>10300</v>
      </c>
      <c r="DE16" s="74">
        <v>10300</v>
      </c>
      <c r="DF16" s="74">
        <v>10300</v>
      </c>
      <c r="DG16" s="74">
        <v>10300</v>
      </c>
      <c r="DH16" s="74">
        <v>10300</v>
      </c>
      <c r="DI16" s="74">
        <v>10300</v>
      </c>
      <c r="DJ16" s="74">
        <v>10300</v>
      </c>
      <c r="DK16" s="74">
        <v>10300</v>
      </c>
      <c r="DL16" s="74">
        <v>10300</v>
      </c>
      <c r="DM16" s="74">
        <v>10300</v>
      </c>
      <c r="DN16" s="74">
        <v>10300</v>
      </c>
      <c r="DO16" s="74">
        <v>10300</v>
      </c>
      <c r="DP16" s="74">
        <v>10300</v>
      </c>
      <c r="DQ16" s="74">
        <v>10300</v>
      </c>
      <c r="DR16" s="74">
        <v>10300</v>
      </c>
      <c r="DS16" s="74">
        <v>10300</v>
      </c>
      <c r="DT16" s="97">
        <v>10300</v>
      </c>
      <c r="DU16" s="97">
        <v>10300</v>
      </c>
      <c r="DV16" s="97">
        <v>10300</v>
      </c>
      <c r="DW16" s="97">
        <v>10300</v>
      </c>
      <c r="DX16" s="97">
        <v>10300</v>
      </c>
      <c r="DY16" s="97">
        <v>10300</v>
      </c>
      <c r="DZ16" s="97">
        <v>10300</v>
      </c>
      <c r="EA16" s="97">
        <v>10300</v>
      </c>
      <c r="EB16" s="97">
        <v>10300</v>
      </c>
      <c r="EC16" s="97">
        <v>10300</v>
      </c>
      <c r="ED16" s="97">
        <v>10300</v>
      </c>
      <c r="EE16" s="97">
        <v>10300</v>
      </c>
      <c r="EF16" s="97">
        <v>10080.8289</v>
      </c>
      <c r="EG16" s="97">
        <v>10081.8289</v>
      </c>
      <c r="EH16" s="97">
        <v>10080.83</v>
      </c>
    </row>
    <row r="17" spans="1:138" x14ac:dyDescent="0.35">
      <c r="A17" s="49" t="s">
        <v>111</v>
      </c>
      <c r="B17" s="66" t="s">
        <v>33</v>
      </c>
      <c r="C17" s="51" t="s">
        <v>112</v>
      </c>
      <c r="D17" s="67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9"/>
      <c r="Q17" s="69"/>
      <c r="R17" s="69"/>
      <c r="S17" s="69"/>
      <c r="T17" s="69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>
        <v>1925</v>
      </c>
      <c r="AH17" s="70">
        <v>1925</v>
      </c>
      <c r="AI17" s="70">
        <v>1936.42</v>
      </c>
      <c r="AJ17" s="70">
        <v>1934.93</v>
      </c>
      <c r="AK17" s="70">
        <v>1934.93</v>
      </c>
      <c r="AL17" s="70">
        <v>1933.4</v>
      </c>
      <c r="AM17" s="70">
        <v>1850.5</v>
      </c>
      <c r="AN17" s="70">
        <v>1849.72</v>
      </c>
      <c r="AO17" s="71">
        <v>1849.72</v>
      </c>
      <c r="AP17" s="70">
        <v>1848.15</v>
      </c>
      <c r="AQ17" s="12">
        <v>1847.36</v>
      </c>
      <c r="AR17" s="12">
        <v>1846.56</v>
      </c>
      <c r="AS17" s="51">
        <v>6.37</v>
      </c>
      <c r="AT17" s="51">
        <v>4.7699999999999996</v>
      </c>
      <c r="AU17" s="51">
        <v>2.69</v>
      </c>
      <c r="AV17" s="51">
        <v>2.69</v>
      </c>
      <c r="AW17" s="51">
        <v>2.69</v>
      </c>
      <c r="AX17">
        <v>2.68</v>
      </c>
      <c r="AY17" s="77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71">
        <v>0</v>
      </c>
      <c r="BF17" s="71">
        <v>0</v>
      </c>
      <c r="BG17" s="71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50.21</v>
      </c>
      <c r="BR17" s="73">
        <v>50.21</v>
      </c>
      <c r="BS17" s="73">
        <v>50.21</v>
      </c>
      <c r="BT17" s="73">
        <v>50.21</v>
      </c>
      <c r="BU17" s="73">
        <v>50.21</v>
      </c>
      <c r="BV17" s="73">
        <v>50.21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4">
        <v>0</v>
      </c>
      <c r="CK17" s="74">
        <v>0</v>
      </c>
      <c r="CL17" s="74">
        <v>0</v>
      </c>
      <c r="CM17" s="74">
        <v>0</v>
      </c>
      <c r="CN17" s="74">
        <v>0</v>
      </c>
      <c r="CO17" s="74">
        <v>0</v>
      </c>
      <c r="CP17" s="74">
        <v>0</v>
      </c>
      <c r="CQ17" s="74">
        <v>0</v>
      </c>
      <c r="CR17" s="74">
        <v>0</v>
      </c>
      <c r="CS17" s="74">
        <v>0</v>
      </c>
      <c r="CT17" s="74">
        <v>0</v>
      </c>
      <c r="CU17" s="74">
        <v>0</v>
      </c>
      <c r="CV17" s="74">
        <v>0</v>
      </c>
      <c r="CW17" s="74">
        <v>0</v>
      </c>
      <c r="CX17" s="74">
        <v>0</v>
      </c>
      <c r="CY17" s="74">
        <v>0</v>
      </c>
      <c r="CZ17" s="74">
        <v>0</v>
      </c>
      <c r="DA17" s="74">
        <v>0</v>
      </c>
      <c r="DB17" s="74">
        <v>0</v>
      </c>
      <c r="DC17" s="74">
        <v>0</v>
      </c>
      <c r="DD17" s="74">
        <v>0</v>
      </c>
      <c r="DE17" s="74">
        <v>0</v>
      </c>
      <c r="DF17" s="74">
        <v>0</v>
      </c>
      <c r="DG17" s="74">
        <v>0</v>
      </c>
      <c r="DH17" s="74">
        <v>0</v>
      </c>
      <c r="DI17" s="74">
        <v>0</v>
      </c>
      <c r="DJ17" s="74">
        <v>0</v>
      </c>
      <c r="DK17" s="74">
        <v>0</v>
      </c>
      <c r="DL17" s="74">
        <v>0</v>
      </c>
      <c r="DM17" s="74">
        <v>0</v>
      </c>
      <c r="DN17" s="74">
        <v>0</v>
      </c>
      <c r="DO17" s="74">
        <v>0</v>
      </c>
      <c r="DP17" s="74">
        <v>0</v>
      </c>
      <c r="DQ17" s="74">
        <v>0</v>
      </c>
      <c r="DR17" s="74">
        <v>0</v>
      </c>
      <c r="DS17" s="74">
        <v>0</v>
      </c>
      <c r="DT17" s="97">
        <v>0</v>
      </c>
      <c r="DU17" s="97">
        <v>0</v>
      </c>
      <c r="DV17" s="97">
        <v>0</v>
      </c>
      <c r="DW17" s="97">
        <v>0</v>
      </c>
      <c r="DX17" s="97">
        <v>0</v>
      </c>
      <c r="DY17" s="97">
        <v>0</v>
      </c>
      <c r="DZ17" s="97">
        <v>0</v>
      </c>
      <c r="EA17" s="97">
        <v>0</v>
      </c>
      <c r="EB17" s="74">
        <v>0</v>
      </c>
      <c r="EC17" s="74">
        <v>0</v>
      </c>
      <c r="ED17" s="74">
        <v>0</v>
      </c>
      <c r="EE17" s="74">
        <v>0</v>
      </c>
      <c r="EF17" s="74">
        <v>0</v>
      </c>
      <c r="EG17" s="74">
        <v>0</v>
      </c>
      <c r="EH17" s="74">
        <v>0</v>
      </c>
    </row>
    <row r="18" spans="1:138" x14ac:dyDescent="0.35">
      <c r="A18" s="49" t="s">
        <v>72</v>
      </c>
      <c r="B18" s="78" t="s">
        <v>32</v>
      </c>
      <c r="C18" s="51" t="s">
        <v>49</v>
      </c>
      <c r="D18" s="61">
        <f t="shared" ref="D18:AM18" si="29">SUM(D19:D22)</f>
        <v>989113.49000000011</v>
      </c>
      <c r="E18" s="62">
        <f t="shared" si="29"/>
        <v>990322.21</v>
      </c>
      <c r="F18" s="62">
        <f t="shared" si="29"/>
        <v>991721.32</v>
      </c>
      <c r="G18" s="62">
        <f t="shared" si="29"/>
        <v>792549.04999999993</v>
      </c>
      <c r="H18" s="62">
        <f t="shared" si="29"/>
        <v>792549.04999999993</v>
      </c>
      <c r="I18" s="62">
        <f t="shared" si="29"/>
        <v>787944.84</v>
      </c>
      <c r="J18" s="62">
        <f t="shared" si="29"/>
        <v>788627.96000000008</v>
      </c>
      <c r="K18" s="62">
        <f t="shared" si="29"/>
        <v>788847.77000000014</v>
      </c>
      <c r="L18" s="62">
        <f t="shared" si="29"/>
        <v>789271.44000000018</v>
      </c>
      <c r="M18" s="62">
        <f t="shared" si="29"/>
        <v>789929.83000000007</v>
      </c>
      <c r="N18" s="62">
        <f t="shared" si="29"/>
        <v>805938.21000000008</v>
      </c>
      <c r="O18" s="62">
        <f t="shared" si="29"/>
        <v>805763.65</v>
      </c>
      <c r="P18" s="54">
        <f t="shared" si="29"/>
        <v>806266.8600000001</v>
      </c>
      <c r="Q18" s="54">
        <f t="shared" si="29"/>
        <v>740891.34</v>
      </c>
      <c r="R18" s="54">
        <f t="shared" si="29"/>
        <v>741478.66</v>
      </c>
      <c r="S18" s="54">
        <f t="shared" si="29"/>
        <v>741986.47000000009</v>
      </c>
      <c r="T18" s="54">
        <f t="shared" si="29"/>
        <v>755397.69000000006</v>
      </c>
      <c r="U18" s="55">
        <f t="shared" si="29"/>
        <v>755939.87</v>
      </c>
      <c r="V18" s="55">
        <f t="shared" si="29"/>
        <v>756704.27</v>
      </c>
      <c r="W18" s="55">
        <f t="shared" si="29"/>
        <v>761001.11</v>
      </c>
      <c r="X18" s="55">
        <f t="shared" si="29"/>
        <v>760940.65</v>
      </c>
      <c r="Y18" s="55">
        <f t="shared" si="29"/>
        <v>761107.48999999987</v>
      </c>
      <c r="Z18" s="55">
        <f t="shared" si="29"/>
        <v>766969.1399999999</v>
      </c>
      <c r="AA18" s="55">
        <f t="shared" si="29"/>
        <v>767407.07</v>
      </c>
      <c r="AB18" s="55">
        <f t="shared" si="29"/>
        <v>780747.25</v>
      </c>
      <c r="AC18" s="55">
        <f t="shared" si="29"/>
        <v>802353.4800000001</v>
      </c>
      <c r="AD18" s="55">
        <f t="shared" si="29"/>
        <v>801759.88000000012</v>
      </c>
      <c r="AE18" s="55">
        <f t="shared" si="29"/>
        <v>743402.89399999997</v>
      </c>
      <c r="AF18" s="55">
        <f t="shared" si="29"/>
        <v>744573.73499999999</v>
      </c>
      <c r="AG18" s="55">
        <f t="shared" si="29"/>
        <v>674598.7699999999</v>
      </c>
      <c r="AH18" s="55">
        <f t="shared" si="29"/>
        <v>678934.25999999989</v>
      </c>
      <c r="AI18" s="55">
        <f t="shared" si="29"/>
        <v>684273.97</v>
      </c>
      <c r="AJ18" s="55">
        <f t="shared" si="29"/>
        <v>684611.69</v>
      </c>
      <c r="AK18" s="55">
        <f t="shared" si="29"/>
        <v>690011.32</v>
      </c>
      <c r="AL18" s="55">
        <f t="shared" si="29"/>
        <v>683623.72000000009</v>
      </c>
      <c r="AM18" s="55">
        <f t="shared" si="29"/>
        <v>688652.66</v>
      </c>
      <c r="AN18" s="55">
        <v>695725.39</v>
      </c>
      <c r="AO18" s="56">
        <v>701733.66</v>
      </c>
      <c r="AP18" s="9">
        <f>SUM(AP19:AP22)</f>
        <v>705739.45000000007</v>
      </c>
      <c r="AQ18" s="9">
        <f>SUM(AQ19:AQ22)</f>
        <v>683426.45000000007</v>
      </c>
      <c r="AR18" s="9">
        <v>689860.37</v>
      </c>
      <c r="AS18" s="79">
        <f t="shared" ref="AS18:DD18" si="30">SUM(AS19:AS22)</f>
        <v>681961.76</v>
      </c>
      <c r="AT18" s="79">
        <f t="shared" si="30"/>
        <v>686253.77364051004</v>
      </c>
      <c r="AU18" s="79">
        <f t="shared" si="30"/>
        <v>693883.75000000012</v>
      </c>
      <c r="AV18" s="79">
        <f t="shared" si="30"/>
        <v>694200.84000000008</v>
      </c>
      <c r="AW18" s="79">
        <f t="shared" si="30"/>
        <v>697420.50000000012</v>
      </c>
      <c r="AX18" s="79">
        <f t="shared" si="30"/>
        <v>697211.31</v>
      </c>
      <c r="AY18" s="79">
        <f t="shared" si="30"/>
        <v>697236.47999999998</v>
      </c>
      <c r="AZ18" s="9">
        <f t="shared" si="30"/>
        <v>702572.12</v>
      </c>
      <c r="BA18" s="9">
        <f t="shared" si="30"/>
        <v>710079.15</v>
      </c>
      <c r="BB18" s="9">
        <f t="shared" si="30"/>
        <v>710395.73</v>
      </c>
      <c r="BC18" s="9">
        <f t="shared" si="30"/>
        <v>723702.08</v>
      </c>
      <c r="BD18" s="9">
        <f t="shared" si="30"/>
        <v>724023.95</v>
      </c>
      <c r="BE18" s="56">
        <f t="shared" si="30"/>
        <v>724541.94000000006</v>
      </c>
      <c r="BF18" s="56">
        <f t="shared" si="30"/>
        <v>643142.22</v>
      </c>
      <c r="BG18" s="56">
        <f t="shared" si="30"/>
        <v>643507.61</v>
      </c>
      <c r="BH18" s="63">
        <f t="shared" si="30"/>
        <v>644102.98</v>
      </c>
      <c r="BI18" s="63">
        <f t="shared" si="30"/>
        <v>644703.78</v>
      </c>
      <c r="BJ18" s="63">
        <f t="shared" si="30"/>
        <v>644709.82000000007</v>
      </c>
      <c r="BK18" s="63">
        <f t="shared" si="30"/>
        <v>662007.39</v>
      </c>
      <c r="BL18" s="63">
        <f t="shared" si="30"/>
        <v>664728.33000000007</v>
      </c>
      <c r="BM18" s="63">
        <f t="shared" si="30"/>
        <v>643281.56000000006</v>
      </c>
      <c r="BN18" s="63">
        <f t="shared" si="30"/>
        <v>643401.29</v>
      </c>
      <c r="BO18" s="63">
        <f t="shared" si="30"/>
        <v>650287.34000000008</v>
      </c>
      <c r="BP18" s="63">
        <f t="shared" si="30"/>
        <v>650905.29</v>
      </c>
      <c r="BQ18" s="63">
        <f t="shared" si="30"/>
        <v>659101.37</v>
      </c>
      <c r="BR18" s="63">
        <f t="shared" si="30"/>
        <v>738793.88</v>
      </c>
      <c r="BS18" s="63">
        <f t="shared" si="30"/>
        <v>739138.02</v>
      </c>
      <c r="BT18" s="63">
        <f t="shared" si="30"/>
        <v>739637.95000000007</v>
      </c>
      <c r="BU18" s="63">
        <f t="shared" si="30"/>
        <v>740264.62</v>
      </c>
      <c r="BV18" s="63">
        <f t="shared" si="30"/>
        <v>734478.71000000008</v>
      </c>
      <c r="BW18" s="63">
        <f t="shared" si="30"/>
        <v>742715.83000000007</v>
      </c>
      <c r="BX18" s="63">
        <f t="shared" si="30"/>
        <v>742157.96000000008</v>
      </c>
      <c r="BY18" s="63">
        <f t="shared" si="30"/>
        <v>752608.81</v>
      </c>
      <c r="BZ18" s="63">
        <f t="shared" si="30"/>
        <v>752963.44000000006</v>
      </c>
      <c r="CA18" s="63">
        <f t="shared" si="30"/>
        <v>763756.93</v>
      </c>
      <c r="CB18" s="63">
        <f t="shared" si="30"/>
        <v>769576.12</v>
      </c>
      <c r="CC18" s="63">
        <f t="shared" si="30"/>
        <v>770442.41</v>
      </c>
      <c r="CD18" s="63">
        <f t="shared" si="30"/>
        <v>776519.6235407301</v>
      </c>
      <c r="CE18" s="63">
        <f t="shared" si="30"/>
        <v>787703.81</v>
      </c>
      <c r="CF18" s="63">
        <f t="shared" si="30"/>
        <v>794057.25</v>
      </c>
      <c r="CG18" s="63">
        <f t="shared" si="30"/>
        <v>751635.79</v>
      </c>
      <c r="CH18" s="63">
        <f t="shared" si="30"/>
        <v>752247.09</v>
      </c>
      <c r="CI18" s="63">
        <f t="shared" si="30"/>
        <v>705329.5</v>
      </c>
      <c r="CJ18" s="64">
        <f t="shared" si="30"/>
        <v>706249.26</v>
      </c>
      <c r="CK18" s="64">
        <f t="shared" si="30"/>
        <v>712334.94000000006</v>
      </c>
      <c r="CL18" s="64">
        <f t="shared" si="30"/>
        <v>712654.15</v>
      </c>
      <c r="CM18" s="64">
        <f t="shared" si="30"/>
        <v>724164.74</v>
      </c>
      <c r="CN18" s="64">
        <f t="shared" si="30"/>
        <v>735350.64</v>
      </c>
      <c r="CO18" s="64">
        <f t="shared" si="30"/>
        <v>736067.94000000006</v>
      </c>
      <c r="CP18" s="64">
        <f t="shared" si="30"/>
        <v>743001.76</v>
      </c>
      <c r="CQ18" s="64">
        <f t="shared" si="30"/>
        <v>744109.55</v>
      </c>
      <c r="CR18" s="64">
        <f t="shared" si="30"/>
        <v>745024.16</v>
      </c>
      <c r="CS18" s="64">
        <f t="shared" si="30"/>
        <v>762408.3</v>
      </c>
      <c r="CT18" s="64">
        <f t="shared" si="30"/>
        <v>762397.53</v>
      </c>
      <c r="CU18" s="64">
        <f t="shared" si="30"/>
        <v>788947.47</v>
      </c>
      <c r="CV18" s="64">
        <f t="shared" si="30"/>
        <v>793369.69000000006</v>
      </c>
      <c r="CW18" s="64">
        <f t="shared" si="30"/>
        <v>801537.94000000006</v>
      </c>
      <c r="CX18" s="64">
        <f t="shared" si="30"/>
        <v>801785.42</v>
      </c>
      <c r="CY18" s="64">
        <f t="shared" si="30"/>
        <v>807549.19000000006</v>
      </c>
      <c r="CZ18" s="64">
        <f t="shared" si="30"/>
        <v>797793.27600000007</v>
      </c>
      <c r="DA18" s="64">
        <f t="shared" si="30"/>
        <v>798684.41</v>
      </c>
      <c r="DB18" s="64">
        <f t="shared" si="30"/>
        <v>775775.18</v>
      </c>
      <c r="DC18" s="64">
        <f t="shared" si="30"/>
        <v>776416.35</v>
      </c>
      <c r="DD18" s="64">
        <f t="shared" si="30"/>
        <v>777411.10201464861</v>
      </c>
      <c r="DE18" s="64">
        <f t="shared" ref="DE18:DU18" si="31">SUM(DE19:DE22)</f>
        <v>778385.67</v>
      </c>
      <c r="DF18" s="64">
        <f t="shared" si="31"/>
        <v>764660.49</v>
      </c>
      <c r="DG18" s="64">
        <f t="shared" si="31"/>
        <v>672817.4</v>
      </c>
      <c r="DH18" s="64">
        <f t="shared" si="31"/>
        <v>639938.62</v>
      </c>
      <c r="DI18" s="64">
        <f t="shared" si="31"/>
        <v>647867.52</v>
      </c>
      <c r="DJ18" s="64">
        <f t="shared" si="31"/>
        <v>648030.22400000005</v>
      </c>
      <c r="DK18" s="64">
        <f t="shared" si="31"/>
        <v>653698.24</v>
      </c>
      <c r="DL18" s="64">
        <f t="shared" si="31"/>
        <v>661462.52</v>
      </c>
      <c r="DM18" s="64">
        <f t="shared" si="31"/>
        <v>662478.38</v>
      </c>
      <c r="DN18" s="64">
        <f t="shared" si="31"/>
        <v>673403.58000000007</v>
      </c>
      <c r="DO18" s="64">
        <f t="shared" si="31"/>
        <v>673595.33000000007</v>
      </c>
      <c r="DP18" s="64">
        <f t="shared" si="31"/>
        <v>674086.54500000004</v>
      </c>
      <c r="DQ18" s="64">
        <f t="shared" si="31"/>
        <v>693327.33400000003</v>
      </c>
      <c r="DR18" s="64">
        <f t="shared" si="31"/>
        <v>728392.2300000001</v>
      </c>
      <c r="DS18" s="64">
        <f t="shared" si="31"/>
        <v>774392.98</v>
      </c>
      <c r="DT18" s="98">
        <f t="shared" si="31"/>
        <v>802126.12</v>
      </c>
      <c r="DU18" s="98">
        <f t="shared" si="31"/>
        <v>802126.12</v>
      </c>
      <c r="DV18" s="98">
        <f t="shared" ref="DV18:DW18" si="32">SUM(DV19:DV22)</f>
        <v>815517.09</v>
      </c>
      <c r="DW18" s="98">
        <f t="shared" si="32"/>
        <v>826744.82000000007</v>
      </c>
      <c r="DX18" s="98">
        <f t="shared" ref="DX18:DY18" si="33">SUM(DX19:DX22)</f>
        <v>839752.45000000007</v>
      </c>
      <c r="DY18" s="98">
        <f t="shared" si="33"/>
        <v>821537.19000000006</v>
      </c>
      <c r="DZ18" s="98">
        <f t="shared" ref="DZ18:EA18" si="34">SUM(DZ19:DZ22)</f>
        <v>837064.8</v>
      </c>
      <c r="EA18" s="98">
        <f t="shared" si="34"/>
        <v>852324.28</v>
      </c>
      <c r="EB18" s="98">
        <f t="shared" ref="EB18" si="35">SUM(EB19:EB22)</f>
        <v>853414.21000000008</v>
      </c>
      <c r="EC18" s="98">
        <f t="shared" ref="EC18:ED18" si="36">SUM(EC19:EC22)</f>
        <v>891816.56</v>
      </c>
      <c r="ED18" s="98">
        <f t="shared" si="36"/>
        <v>930727.57000000007</v>
      </c>
      <c r="EE18" s="98">
        <f t="shared" ref="EE18:EF18" si="37">SUM(EE19:EE22)</f>
        <v>972620.96000000008</v>
      </c>
      <c r="EF18" s="98">
        <f t="shared" si="37"/>
        <v>997288.91</v>
      </c>
      <c r="EG18" s="98">
        <f>SUM(EG19:EG22)</f>
        <v>1017558.38</v>
      </c>
      <c r="EH18" s="98">
        <f t="shared" ref="EH18" si="38">SUM(EH19:EH22)</f>
        <v>1018080.24</v>
      </c>
    </row>
    <row r="19" spans="1:138" x14ac:dyDescent="0.35">
      <c r="A19" s="49" t="s">
        <v>73</v>
      </c>
      <c r="B19" s="66" t="s">
        <v>29</v>
      </c>
      <c r="C19" s="51" t="s">
        <v>50</v>
      </c>
      <c r="D19" s="67">
        <f>791642.34-D14</f>
        <v>728993.25</v>
      </c>
      <c r="E19" s="68">
        <f>791091.15-E14</f>
        <v>729157.29</v>
      </c>
      <c r="F19" s="68">
        <f>791223.59-F14</f>
        <v>729289.73</v>
      </c>
      <c r="G19" s="68">
        <f>782211.1-G14</f>
        <v>721779.23</v>
      </c>
      <c r="H19" s="68">
        <f>782211.1-H14</f>
        <v>721779.23</v>
      </c>
      <c r="I19" s="68">
        <f>782832.35-I14</f>
        <v>722404.28</v>
      </c>
      <c r="J19" s="68">
        <f>783106.69-J14</f>
        <v>722678.62</v>
      </c>
      <c r="K19" s="68">
        <f>783275.08-K14</f>
        <v>722847.01</v>
      </c>
      <c r="L19" s="68">
        <f>783445.15-L14</f>
        <v>723017.08000000007</v>
      </c>
      <c r="M19" s="68">
        <f>783603.13-M14</f>
        <v>723175.06</v>
      </c>
      <c r="N19" s="68">
        <f>738932.01-N14</f>
        <v>738928.64000000001</v>
      </c>
      <c r="O19" s="68">
        <f>738798.55-O14</f>
        <v>738795.18</v>
      </c>
      <c r="P19" s="69">
        <f>738717.09-P14</f>
        <v>738713.72</v>
      </c>
      <c r="Q19" s="69">
        <f>744752.46-Q14</f>
        <v>672150.19</v>
      </c>
      <c r="R19" s="69">
        <f>744828.59-R14</f>
        <v>672226.32</v>
      </c>
      <c r="S19" s="69">
        <f>745245.81-S14</f>
        <v>672643.54</v>
      </c>
      <c r="T19" s="69">
        <f>753212.02-T14</f>
        <v>685520.75</v>
      </c>
      <c r="U19" s="70">
        <f>750328.04-U14</f>
        <v>685836.77</v>
      </c>
      <c r="V19" s="70">
        <f>750653.08-V14</f>
        <v>686161.80999999994</v>
      </c>
      <c r="W19" s="70">
        <f>758985.35-W14</f>
        <v>690494.08</v>
      </c>
      <c r="X19" s="70">
        <f>759241.43-X14</f>
        <v>690750.16</v>
      </c>
      <c r="Y19" s="70">
        <f>759503.69-Y14</f>
        <v>691012.41999999993</v>
      </c>
      <c r="Z19" s="70">
        <f>772935.2-Z14</f>
        <v>696956.42999999993</v>
      </c>
      <c r="AA19" s="70">
        <f>773218.48-AA14</f>
        <v>697239.71</v>
      </c>
      <c r="AB19" s="70">
        <f>786173.08-AB14</f>
        <v>710194.30999999994</v>
      </c>
      <c r="AC19" s="70">
        <f>742900.92-AC14</f>
        <v>731410.05</v>
      </c>
      <c r="AD19" s="70">
        <f>743108.92-AD14</f>
        <v>731618.05</v>
      </c>
      <c r="AE19" s="70">
        <f>743403.24-AE14</f>
        <v>673474.08</v>
      </c>
      <c r="AF19" s="70">
        <f>743822.9-AF14</f>
        <v>673893.74</v>
      </c>
      <c r="AG19" s="70">
        <f>744156.08-AG14</f>
        <v>674226.91999999993</v>
      </c>
      <c r="AH19" s="70">
        <f>748491.57-AH14</f>
        <v>678562.40999999992</v>
      </c>
      <c r="AI19" s="70">
        <f>749843.46-AI14</f>
        <v>683914.29999999993</v>
      </c>
      <c r="AJ19" s="70">
        <f>750181.19-AJ14</f>
        <v>684252.02999999991</v>
      </c>
      <c r="AK19" s="70">
        <f>755580.82-AK14</f>
        <v>689651.65999999992</v>
      </c>
      <c r="AL19" s="70">
        <f>741825.39-AL14</f>
        <v>683264.06</v>
      </c>
      <c r="AM19" s="70">
        <f>746912.59-AM14</f>
        <v>688351.26</v>
      </c>
      <c r="AN19" s="70">
        <v>695423.99</v>
      </c>
      <c r="AO19" s="71">
        <v>701432.26</v>
      </c>
      <c r="AP19" s="5">
        <v>705438.05</v>
      </c>
      <c r="AQ19" s="11">
        <v>683125.05</v>
      </c>
      <c r="AR19" s="11">
        <v>689558.97</v>
      </c>
      <c r="AS19" s="71">
        <v>681710.57</v>
      </c>
      <c r="AT19" s="71">
        <v>686002.58364050998</v>
      </c>
      <c r="AU19" s="71">
        <v>693632.56</v>
      </c>
      <c r="AV19" s="15">
        <v>693949.65</v>
      </c>
      <c r="AW19" s="15">
        <v>697169.31</v>
      </c>
      <c r="AX19" s="72">
        <v>696960.12</v>
      </c>
      <c r="AY19" s="72">
        <v>697035.5</v>
      </c>
      <c r="AZ19" s="6">
        <v>702371.14</v>
      </c>
      <c r="BA19" s="6">
        <v>709878.17</v>
      </c>
      <c r="BB19" s="6">
        <v>710194.75</v>
      </c>
      <c r="BC19" s="6">
        <v>723501.1</v>
      </c>
      <c r="BD19" s="6">
        <v>723822.97</v>
      </c>
      <c r="BE19" s="5">
        <v>724391.16</v>
      </c>
      <c r="BF19" s="5">
        <v>642991.43999999994</v>
      </c>
      <c r="BG19" s="5">
        <v>643356.82999999996</v>
      </c>
      <c r="BH19" s="20">
        <v>643952.19999999995</v>
      </c>
      <c r="BI19" s="20">
        <v>644553</v>
      </c>
      <c r="BJ19" s="20">
        <v>644559.04</v>
      </c>
      <c r="BK19" s="20">
        <v>661856.61</v>
      </c>
      <c r="BL19" s="20">
        <v>664627.76</v>
      </c>
      <c r="BM19" s="20">
        <v>643180.99</v>
      </c>
      <c r="BN19" s="20">
        <v>643300.72</v>
      </c>
      <c r="BO19" s="20">
        <v>650186.77</v>
      </c>
      <c r="BP19" s="20">
        <v>650804.72</v>
      </c>
      <c r="BQ19" s="20">
        <v>659101.22</v>
      </c>
      <c r="BR19" s="20">
        <v>738793.73</v>
      </c>
      <c r="BS19" s="20">
        <v>739137.87</v>
      </c>
      <c r="BT19" s="20">
        <v>739637.8</v>
      </c>
      <c r="BU19" s="20">
        <v>740264.47</v>
      </c>
      <c r="BV19" s="20">
        <v>734478.56</v>
      </c>
      <c r="BW19" s="20">
        <v>742715.68</v>
      </c>
      <c r="BX19" s="20">
        <v>742157.81</v>
      </c>
      <c r="BY19" s="20">
        <v>752608.66</v>
      </c>
      <c r="BZ19" s="73">
        <v>752963.29</v>
      </c>
      <c r="CA19" s="73">
        <v>763756.78</v>
      </c>
      <c r="CB19" s="73">
        <v>769575.97</v>
      </c>
      <c r="CC19" s="73">
        <v>770442.26</v>
      </c>
      <c r="CD19" s="73">
        <v>776519.47354073008</v>
      </c>
      <c r="CE19" s="73">
        <v>787703.66</v>
      </c>
      <c r="CF19" s="73">
        <v>794057.1</v>
      </c>
      <c r="CG19" s="73">
        <v>751635.64</v>
      </c>
      <c r="CH19" s="73">
        <v>752246.94</v>
      </c>
      <c r="CI19" s="73">
        <v>705329.35</v>
      </c>
      <c r="CJ19" s="74">
        <v>706249.11</v>
      </c>
      <c r="CK19" s="74">
        <v>712334.79</v>
      </c>
      <c r="CL19" s="74">
        <v>712654</v>
      </c>
      <c r="CM19" s="74">
        <v>724164.59</v>
      </c>
      <c r="CN19" s="74">
        <v>735350.49</v>
      </c>
      <c r="CO19" s="74">
        <v>736067.79</v>
      </c>
      <c r="CP19" s="74">
        <v>743001.61</v>
      </c>
      <c r="CQ19" s="74">
        <v>744109.4</v>
      </c>
      <c r="CR19" s="74">
        <v>745024.01</v>
      </c>
      <c r="CS19" s="74">
        <v>762408.15</v>
      </c>
      <c r="CT19" s="74">
        <v>762397.38</v>
      </c>
      <c r="CU19" s="74">
        <v>788947.32</v>
      </c>
      <c r="CV19" s="74">
        <v>793369.54</v>
      </c>
      <c r="CW19" s="74">
        <v>801537.79</v>
      </c>
      <c r="CX19" s="74">
        <v>801785.27</v>
      </c>
      <c r="CY19" s="74">
        <v>807549.04</v>
      </c>
      <c r="CZ19" s="74">
        <v>797793.12600000005</v>
      </c>
      <c r="DA19" s="74">
        <v>798684.26</v>
      </c>
      <c r="DB19" s="74">
        <v>775775.03</v>
      </c>
      <c r="DC19" s="74">
        <v>776416.2</v>
      </c>
      <c r="DD19" s="74">
        <v>777410.95201464859</v>
      </c>
      <c r="DE19" s="74">
        <v>778385.52</v>
      </c>
      <c r="DF19" s="74">
        <v>764660.34</v>
      </c>
      <c r="DG19" s="74">
        <v>672817.25</v>
      </c>
      <c r="DH19" s="74">
        <v>639938.47</v>
      </c>
      <c r="DI19" s="74">
        <v>647867.37</v>
      </c>
      <c r="DJ19" s="74">
        <v>648030.07400000002</v>
      </c>
      <c r="DK19" s="74">
        <v>653698.09</v>
      </c>
      <c r="DL19" s="74">
        <v>661462.37</v>
      </c>
      <c r="DM19" s="74">
        <v>662478.23</v>
      </c>
      <c r="DN19" s="74">
        <v>673403.43</v>
      </c>
      <c r="DO19" s="74">
        <v>673595.18</v>
      </c>
      <c r="DP19" s="74">
        <v>674086.39500000002</v>
      </c>
      <c r="DQ19" s="74">
        <v>693327.18400000001</v>
      </c>
      <c r="DR19" s="74">
        <v>728392.08000000007</v>
      </c>
      <c r="DS19" s="74">
        <v>774392.83</v>
      </c>
      <c r="DT19" s="97">
        <v>802125.97</v>
      </c>
      <c r="DU19" s="97">
        <v>802125.97</v>
      </c>
      <c r="DV19" s="97">
        <v>815516.94</v>
      </c>
      <c r="DW19" s="97">
        <v>826744.67</v>
      </c>
      <c r="DX19" s="97">
        <v>839752.3</v>
      </c>
      <c r="DY19" s="97">
        <v>821537.04</v>
      </c>
      <c r="DZ19" s="97">
        <v>837064.65</v>
      </c>
      <c r="EA19" s="97">
        <v>852324.13</v>
      </c>
      <c r="EB19" s="97">
        <v>853414.06</v>
      </c>
      <c r="EC19" s="97">
        <v>891816.41</v>
      </c>
      <c r="ED19" s="97">
        <v>930727.42</v>
      </c>
      <c r="EE19" s="97">
        <v>972620.81</v>
      </c>
      <c r="EF19" s="97">
        <v>997288.76</v>
      </c>
      <c r="EG19" s="97">
        <v>1017558.23</v>
      </c>
      <c r="EH19" s="97">
        <v>1018080.09</v>
      </c>
    </row>
    <row r="20" spans="1:138" x14ac:dyDescent="0.35">
      <c r="A20" s="49" t="s">
        <v>74</v>
      </c>
      <c r="B20" s="66" t="s">
        <v>30</v>
      </c>
      <c r="C20" s="51" t="s">
        <v>51</v>
      </c>
      <c r="D20" s="67">
        <f>257548.98-D15</f>
        <v>257103.28</v>
      </c>
      <c r="E20" s="68">
        <f>258596.08-E15</f>
        <v>258148.56999999998</v>
      </c>
      <c r="F20" s="68">
        <f>259866.68-F15</f>
        <v>259415.85</v>
      </c>
      <c r="G20" s="68">
        <f>68207.22-G15</f>
        <v>67754.7</v>
      </c>
      <c r="H20" s="68">
        <f>68207.22-H15</f>
        <v>67754.7</v>
      </c>
      <c r="I20" s="68">
        <f>69156.07-I15</f>
        <v>62667.080000000009</v>
      </c>
      <c r="J20" s="68">
        <f>69608.58-J15</f>
        <v>63077.130000000005</v>
      </c>
      <c r="K20" s="68">
        <f>69665.33-K15</f>
        <v>63128.55</v>
      </c>
      <c r="L20" s="68">
        <f>69945.89-L15</f>
        <v>63382.79</v>
      </c>
      <c r="M20" s="68">
        <f>70498.82-M15</f>
        <v>63883.840000000011</v>
      </c>
      <c r="N20" s="68">
        <f>70311.13-N15</f>
        <v>64139.290000000008</v>
      </c>
      <c r="O20" s="68">
        <f>70420.7-O15</f>
        <v>64239.24</v>
      </c>
      <c r="P20" s="69">
        <f>71062.35-P15</f>
        <v>64824.570000000007</v>
      </c>
      <c r="Q20" s="69">
        <f>72364.68-Q15</f>
        <v>66012.579999999987</v>
      </c>
      <c r="R20" s="69">
        <f>72925.78-R15</f>
        <v>66524.429999999993</v>
      </c>
      <c r="S20" s="69">
        <f>73026.58-S15</f>
        <v>66616.38</v>
      </c>
      <c r="T20" s="69">
        <f>73611.97-T15</f>
        <v>67150.39</v>
      </c>
      <c r="U20" s="70">
        <f>67517.63-U15</f>
        <v>67517.63</v>
      </c>
      <c r="V20" s="70">
        <f>67957.68-V15</f>
        <v>67957.679999999993</v>
      </c>
      <c r="W20" s="70">
        <f>67922.25-W15</f>
        <v>67922.25</v>
      </c>
      <c r="X20" s="70">
        <v>67607.11</v>
      </c>
      <c r="Y20" s="70">
        <v>67511.679999999993</v>
      </c>
      <c r="Z20" s="70">
        <v>67430.73</v>
      </c>
      <c r="AA20" s="70">
        <v>67726.490000000005</v>
      </c>
      <c r="AB20" s="70">
        <v>68112.800000000003</v>
      </c>
      <c r="AC20" s="70">
        <v>68504</v>
      </c>
      <c r="AD20" s="70">
        <f>67703.12-AD15</f>
        <v>67703.12</v>
      </c>
      <c r="AE20" s="70">
        <f>67490.839-AE15</f>
        <v>67490.839000000007</v>
      </c>
      <c r="AF20" s="70">
        <f>68242.02-AF15</f>
        <v>68242.02</v>
      </c>
      <c r="AG20" s="70">
        <f t="shared" ref="AG20:AL20" si="39">0-AG15</f>
        <v>0</v>
      </c>
      <c r="AH20" s="70">
        <f t="shared" si="39"/>
        <v>0</v>
      </c>
      <c r="AI20" s="70">
        <f t="shared" si="39"/>
        <v>0</v>
      </c>
      <c r="AJ20" s="70">
        <f t="shared" si="39"/>
        <v>0</v>
      </c>
      <c r="AK20" s="70">
        <f t="shared" si="39"/>
        <v>0</v>
      </c>
      <c r="AL20" s="70">
        <f t="shared" si="39"/>
        <v>0</v>
      </c>
      <c r="AM20" s="70">
        <f>0-AM15</f>
        <v>0</v>
      </c>
      <c r="AN20" s="70">
        <v>0</v>
      </c>
      <c r="AO20" s="71">
        <v>0</v>
      </c>
      <c r="AP20" s="5">
        <v>0</v>
      </c>
      <c r="AQ20" s="11">
        <v>0</v>
      </c>
      <c r="AR20" s="11">
        <v>0</v>
      </c>
      <c r="AS20" s="71">
        <v>0</v>
      </c>
      <c r="AT20" s="71">
        <v>0</v>
      </c>
      <c r="AU20" s="71">
        <v>0</v>
      </c>
      <c r="AV20" s="15">
        <v>0</v>
      </c>
      <c r="AW20" s="15">
        <v>0</v>
      </c>
      <c r="AX20" s="72">
        <v>0</v>
      </c>
      <c r="AY20" s="72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5">
        <v>0</v>
      </c>
      <c r="BF20" s="5">
        <v>0</v>
      </c>
      <c r="BG20" s="5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v>0</v>
      </c>
      <c r="CS20" s="74">
        <v>0</v>
      </c>
      <c r="CT20" s="74">
        <v>0</v>
      </c>
      <c r="CU20" s="74">
        <v>0</v>
      </c>
      <c r="CV20" s="74">
        <v>0</v>
      </c>
      <c r="CW20" s="74">
        <v>0</v>
      </c>
      <c r="CX20" s="74">
        <v>0</v>
      </c>
      <c r="CY20" s="74">
        <v>0</v>
      </c>
      <c r="CZ20" s="74">
        <v>0</v>
      </c>
      <c r="DA20" s="74">
        <v>0</v>
      </c>
      <c r="DB20" s="74">
        <v>0</v>
      </c>
      <c r="DC20" s="74">
        <v>0</v>
      </c>
      <c r="DD20" s="74">
        <v>0</v>
      </c>
      <c r="DE20" s="74">
        <v>0</v>
      </c>
      <c r="DF20" s="74">
        <v>0</v>
      </c>
      <c r="DG20" s="74">
        <v>0</v>
      </c>
      <c r="DH20" s="74">
        <v>0</v>
      </c>
      <c r="DI20" s="74">
        <v>0</v>
      </c>
      <c r="DJ20" s="74">
        <v>0</v>
      </c>
      <c r="DK20" s="74">
        <v>0</v>
      </c>
      <c r="DL20" s="74">
        <v>0</v>
      </c>
      <c r="DM20" s="74">
        <v>0</v>
      </c>
      <c r="DN20" s="74">
        <v>0</v>
      </c>
      <c r="DO20" s="74">
        <v>0</v>
      </c>
      <c r="DP20" s="74">
        <v>0</v>
      </c>
      <c r="DQ20" s="74">
        <v>0</v>
      </c>
      <c r="DR20" s="74">
        <v>0</v>
      </c>
      <c r="DS20" s="74">
        <v>0</v>
      </c>
      <c r="DT20" s="97">
        <v>0</v>
      </c>
      <c r="DU20" s="97">
        <v>0</v>
      </c>
      <c r="DV20" s="97">
        <v>0</v>
      </c>
      <c r="DW20" s="97">
        <v>0</v>
      </c>
      <c r="DX20" s="97">
        <v>0</v>
      </c>
      <c r="DY20" s="97">
        <v>0</v>
      </c>
      <c r="DZ20" s="97">
        <v>0</v>
      </c>
      <c r="EA20" s="97">
        <v>0</v>
      </c>
      <c r="EB20" s="74">
        <v>0</v>
      </c>
      <c r="EC20" s="74">
        <v>0</v>
      </c>
      <c r="ED20" s="74">
        <v>0</v>
      </c>
      <c r="EE20" s="74">
        <v>0</v>
      </c>
      <c r="EF20" s="74">
        <v>0</v>
      </c>
      <c r="EG20" s="74">
        <v>0</v>
      </c>
      <c r="EH20" s="74">
        <v>0</v>
      </c>
    </row>
    <row r="21" spans="1:138" x14ac:dyDescent="0.35">
      <c r="A21" s="49" t="s">
        <v>75</v>
      </c>
      <c r="B21" s="66" t="s">
        <v>33</v>
      </c>
      <c r="C21" s="51" t="s">
        <v>52</v>
      </c>
      <c r="D21" s="67">
        <v>3016.81</v>
      </c>
      <c r="E21" s="68">
        <v>3016.2</v>
      </c>
      <c r="F21" s="68">
        <v>3015.59</v>
      </c>
      <c r="G21" s="68">
        <v>3014.97</v>
      </c>
      <c r="H21" s="68">
        <v>3014.97</v>
      </c>
      <c r="I21" s="68">
        <v>2873.33</v>
      </c>
      <c r="J21" s="68">
        <v>2872.06</v>
      </c>
      <c r="K21" s="68">
        <v>2872.06</v>
      </c>
      <c r="L21" s="68">
        <v>2871.42</v>
      </c>
      <c r="M21" s="68">
        <v>2870.78</v>
      </c>
      <c r="N21" s="68">
        <v>2870.13</v>
      </c>
      <c r="O21" s="68">
        <f>2729.08</f>
        <v>2729.08</v>
      </c>
      <c r="P21" s="69">
        <f>2728.42</f>
        <v>2728.42</v>
      </c>
      <c r="Q21" s="69">
        <f>2728.42</f>
        <v>2728.42</v>
      </c>
      <c r="R21" s="69">
        <f>2727.76</f>
        <v>2727.76</v>
      </c>
      <c r="S21" s="69">
        <v>2726.4</v>
      </c>
      <c r="T21" s="69">
        <v>2726.4</v>
      </c>
      <c r="U21" s="70">
        <v>2585.3200000000002</v>
      </c>
      <c r="V21" s="70">
        <v>2584.63</v>
      </c>
      <c r="W21" s="70">
        <v>2584.63</v>
      </c>
      <c r="X21" s="70">
        <v>2583.23</v>
      </c>
      <c r="Y21" s="70">
        <v>2583.2399999999998</v>
      </c>
      <c r="Z21" s="70">
        <v>2581.83</v>
      </c>
      <c r="AA21" s="70">
        <v>2440.7199999999998</v>
      </c>
      <c r="AB21" s="70">
        <v>2439.9899999999998</v>
      </c>
      <c r="AC21" s="70">
        <v>2439.2800000000002</v>
      </c>
      <c r="AD21" s="70">
        <f>2438.56</f>
        <v>2438.56</v>
      </c>
      <c r="AE21" s="70">
        <f>2437.825</f>
        <v>2437.8249999999998</v>
      </c>
      <c r="AF21" s="70">
        <f>2437.825</f>
        <v>2437.8249999999998</v>
      </c>
      <c r="AG21" s="70">
        <f>2296.7-AG17</f>
        <v>371.69999999999982</v>
      </c>
      <c r="AH21" s="70">
        <f>2296.7-AH17</f>
        <v>371.69999999999982</v>
      </c>
      <c r="AI21" s="70">
        <f>2295.94-AI17</f>
        <v>359.52</v>
      </c>
      <c r="AJ21" s="70">
        <f>2294.44-AJ17</f>
        <v>359.51</v>
      </c>
      <c r="AK21" s="70">
        <f>2294.44-AK17</f>
        <v>359.51</v>
      </c>
      <c r="AL21" s="70">
        <f>2292.91-AL17</f>
        <v>359.50999999999976</v>
      </c>
      <c r="AM21" s="70">
        <f>2151.75-AM17</f>
        <v>301.25</v>
      </c>
      <c r="AN21" s="70">
        <v>301.25</v>
      </c>
      <c r="AO21" s="71">
        <v>301.24999999999977</v>
      </c>
      <c r="AP21" s="5">
        <v>301.25</v>
      </c>
      <c r="AQ21" s="11">
        <v>301.25</v>
      </c>
      <c r="AR21" s="11">
        <v>301.25</v>
      </c>
      <c r="AS21" s="71">
        <v>251.04</v>
      </c>
      <c r="AT21" s="71">
        <v>251.04</v>
      </c>
      <c r="AU21" s="71">
        <v>251.04</v>
      </c>
      <c r="AV21" s="15">
        <v>251.04</v>
      </c>
      <c r="AW21" s="15">
        <v>251.04</v>
      </c>
      <c r="AX21" s="72">
        <v>251.04</v>
      </c>
      <c r="AY21" s="72">
        <v>200.83</v>
      </c>
      <c r="AZ21" s="6">
        <v>200.83</v>
      </c>
      <c r="BA21" s="6">
        <v>200.83</v>
      </c>
      <c r="BB21" s="6">
        <v>200.83</v>
      </c>
      <c r="BC21" s="6">
        <v>200.83</v>
      </c>
      <c r="BD21" s="6">
        <v>200.83</v>
      </c>
      <c r="BE21" s="5">
        <v>150.63</v>
      </c>
      <c r="BF21" s="5">
        <v>150.63</v>
      </c>
      <c r="BG21" s="5">
        <v>150.63</v>
      </c>
      <c r="BH21" s="20">
        <v>150.63</v>
      </c>
      <c r="BI21" s="20">
        <v>150.63</v>
      </c>
      <c r="BJ21" s="20">
        <v>150.63</v>
      </c>
      <c r="BK21" s="20">
        <v>150.63</v>
      </c>
      <c r="BL21" s="20">
        <v>100.42</v>
      </c>
      <c r="BM21" s="20">
        <v>100.42</v>
      </c>
      <c r="BN21" s="20">
        <v>100.42</v>
      </c>
      <c r="BO21" s="20">
        <v>100.42</v>
      </c>
      <c r="BP21" s="20">
        <v>100.42</v>
      </c>
      <c r="BQ21" s="20">
        <v>0</v>
      </c>
      <c r="BR21" s="20">
        <v>0</v>
      </c>
      <c r="BS21" s="20">
        <v>0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4">
        <v>0</v>
      </c>
      <c r="CK21" s="74">
        <v>0</v>
      </c>
      <c r="CL21" s="74">
        <v>0</v>
      </c>
      <c r="CM21" s="74">
        <v>0</v>
      </c>
      <c r="CN21" s="74">
        <v>0</v>
      </c>
      <c r="CO21" s="74">
        <v>0</v>
      </c>
      <c r="CP21" s="74">
        <v>0</v>
      </c>
      <c r="CQ21" s="74">
        <v>0</v>
      </c>
      <c r="CR21" s="74">
        <v>0</v>
      </c>
      <c r="CS21" s="74">
        <v>0</v>
      </c>
      <c r="CT21" s="74">
        <v>0</v>
      </c>
      <c r="CU21" s="74">
        <v>0</v>
      </c>
      <c r="CV21" s="74">
        <v>0</v>
      </c>
      <c r="CW21" s="74">
        <v>0</v>
      </c>
      <c r="CX21" s="74">
        <v>0</v>
      </c>
      <c r="CY21" s="74">
        <v>0</v>
      </c>
      <c r="CZ21" s="74">
        <v>0</v>
      </c>
      <c r="DA21" s="74">
        <v>0</v>
      </c>
      <c r="DB21" s="74">
        <v>0</v>
      </c>
      <c r="DC21" s="74">
        <v>0</v>
      </c>
      <c r="DD21" s="74">
        <v>0</v>
      </c>
      <c r="DE21" s="74">
        <v>0</v>
      </c>
      <c r="DF21" s="74">
        <v>0</v>
      </c>
      <c r="DG21" s="74">
        <v>0</v>
      </c>
      <c r="DH21" s="74">
        <v>0</v>
      </c>
      <c r="DI21" s="74">
        <v>0</v>
      </c>
      <c r="DJ21" s="74">
        <v>0</v>
      </c>
      <c r="DK21" s="74">
        <v>0</v>
      </c>
      <c r="DL21" s="74">
        <v>0</v>
      </c>
      <c r="DM21" s="74">
        <v>0</v>
      </c>
      <c r="DN21" s="74">
        <v>0</v>
      </c>
      <c r="DO21" s="74">
        <v>0</v>
      </c>
      <c r="DP21" s="74">
        <v>0</v>
      </c>
      <c r="DQ21" s="74">
        <v>0</v>
      </c>
      <c r="DR21" s="74">
        <v>0</v>
      </c>
      <c r="DS21" s="74">
        <v>0</v>
      </c>
      <c r="DT21" s="74">
        <v>0</v>
      </c>
      <c r="DU21" s="74">
        <v>0</v>
      </c>
      <c r="DV21" s="74">
        <v>0</v>
      </c>
      <c r="DW21" s="74">
        <v>0</v>
      </c>
      <c r="DX21" s="74">
        <v>0</v>
      </c>
      <c r="DY21" s="74">
        <v>0</v>
      </c>
      <c r="DZ21" s="74">
        <v>0</v>
      </c>
      <c r="EA21" s="74">
        <v>0</v>
      </c>
      <c r="EB21" s="74">
        <v>0</v>
      </c>
      <c r="EC21" s="74">
        <v>0</v>
      </c>
      <c r="ED21" s="74">
        <v>0</v>
      </c>
      <c r="EE21" s="74">
        <v>0</v>
      </c>
      <c r="EF21" s="74">
        <v>0</v>
      </c>
      <c r="EG21" s="74">
        <v>0</v>
      </c>
      <c r="EH21" s="74">
        <v>0</v>
      </c>
    </row>
    <row r="22" spans="1:138" x14ac:dyDescent="0.35">
      <c r="A22" s="49" t="s">
        <v>76</v>
      </c>
      <c r="B22" s="66" t="s">
        <v>34</v>
      </c>
      <c r="C22" s="51" t="s">
        <v>53</v>
      </c>
      <c r="D22" s="67">
        <v>0.15</v>
      </c>
      <c r="E22" s="68">
        <v>0.15</v>
      </c>
      <c r="F22" s="68">
        <v>0.15</v>
      </c>
      <c r="G22" s="68">
        <v>0.15</v>
      </c>
      <c r="H22" s="68">
        <v>0.15</v>
      </c>
      <c r="I22" s="68">
        <v>0.15</v>
      </c>
      <c r="J22" s="68">
        <v>0.15</v>
      </c>
      <c r="K22" s="68">
        <v>0.15</v>
      </c>
      <c r="L22" s="68">
        <v>0.15</v>
      </c>
      <c r="M22" s="68">
        <v>0.15</v>
      </c>
      <c r="N22" s="68">
        <v>0.15</v>
      </c>
      <c r="O22" s="68">
        <v>0.15</v>
      </c>
      <c r="P22" s="69">
        <v>0.15</v>
      </c>
      <c r="Q22" s="69">
        <v>0.15</v>
      </c>
      <c r="R22" s="69">
        <v>0.15</v>
      </c>
      <c r="S22" s="69">
        <v>0.15</v>
      </c>
      <c r="T22" s="69">
        <v>0.15</v>
      </c>
      <c r="U22" s="70">
        <v>0.15</v>
      </c>
      <c r="V22" s="70">
        <v>0.15</v>
      </c>
      <c r="W22" s="70">
        <v>0.15</v>
      </c>
      <c r="X22" s="70">
        <v>0.15</v>
      </c>
      <c r="Y22" s="70">
        <v>0.15</v>
      </c>
      <c r="Z22" s="70">
        <v>0.15</v>
      </c>
      <c r="AA22" s="70">
        <v>0.15</v>
      </c>
      <c r="AB22" s="70">
        <v>0.15</v>
      </c>
      <c r="AC22" s="70">
        <v>0.15</v>
      </c>
      <c r="AD22" s="70">
        <v>0.15</v>
      </c>
      <c r="AE22" s="70">
        <v>0.15</v>
      </c>
      <c r="AF22" s="70">
        <v>0.15</v>
      </c>
      <c r="AG22" s="70">
        <v>0.15</v>
      </c>
      <c r="AH22" s="70">
        <v>0.15</v>
      </c>
      <c r="AI22" s="70">
        <v>0.15</v>
      </c>
      <c r="AJ22" s="70">
        <v>0.15</v>
      </c>
      <c r="AK22" s="70">
        <v>0.15</v>
      </c>
      <c r="AL22" s="70">
        <v>0.15</v>
      </c>
      <c r="AM22" s="70">
        <v>0.15</v>
      </c>
      <c r="AN22" s="70">
        <v>0.15</v>
      </c>
      <c r="AO22" s="71">
        <v>0.15</v>
      </c>
      <c r="AP22" s="5">
        <v>0.15</v>
      </c>
      <c r="AQ22" s="11">
        <v>0.15</v>
      </c>
      <c r="AR22" s="11">
        <v>0.15</v>
      </c>
      <c r="AS22" s="71">
        <v>0.15</v>
      </c>
      <c r="AT22" s="71">
        <v>0.15</v>
      </c>
      <c r="AU22" s="71">
        <v>0.15</v>
      </c>
      <c r="AV22" s="15">
        <v>0.15</v>
      </c>
      <c r="AW22" s="15">
        <v>0.15</v>
      </c>
      <c r="AX22" s="72">
        <v>0.15</v>
      </c>
      <c r="AY22" s="72">
        <v>0.15</v>
      </c>
      <c r="AZ22" s="6">
        <v>0.15</v>
      </c>
      <c r="BA22" s="6">
        <v>0.15</v>
      </c>
      <c r="BB22" s="6">
        <v>0.15</v>
      </c>
      <c r="BC22" s="6">
        <v>0.15</v>
      </c>
      <c r="BD22" s="6">
        <v>0.15</v>
      </c>
      <c r="BE22" s="5">
        <v>0.15</v>
      </c>
      <c r="BF22" s="5">
        <v>0.15</v>
      </c>
      <c r="BG22" s="5">
        <v>0.15</v>
      </c>
      <c r="BH22" s="20">
        <v>0.15</v>
      </c>
      <c r="BI22" s="20">
        <v>0.15</v>
      </c>
      <c r="BJ22" s="20">
        <v>0.15</v>
      </c>
      <c r="BK22" s="20">
        <v>0.15</v>
      </c>
      <c r="BL22" s="20">
        <v>0.15</v>
      </c>
      <c r="BM22" s="20">
        <v>0.15</v>
      </c>
      <c r="BN22" s="20">
        <v>0.15</v>
      </c>
      <c r="BO22" s="20">
        <v>0.15</v>
      </c>
      <c r="BP22" s="20">
        <v>0.15</v>
      </c>
      <c r="BQ22" s="20">
        <v>0.15</v>
      </c>
      <c r="BR22" s="20">
        <v>0.15</v>
      </c>
      <c r="BS22" s="20">
        <v>0.15</v>
      </c>
      <c r="BT22" s="20">
        <v>0.15</v>
      </c>
      <c r="BU22" s="20">
        <v>0.15</v>
      </c>
      <c r="BV22" s="20">
        <v>0.15</v>
      </c>
      <c r="BW22" s="20">
        <v>0.15</v>
      </c>
      <c r="BX22" s="20">
        <v>0.15</v>
      </c>
      <c r="BY22" s="20">
        <v>0.15</v>
      </c>
      <c r="BZ22" s="73">
        <v>0.15</v>
      </c>
      <c r="CA22" s="73">
        <v>0.15</v>
      </c>
      <c r="CB22" s="73">
        <v>0.15</v>
      </c>
      <c r="CC22" s="73">
        <v>0.15</v>
      </c>
      <c r="CD22" s="73">
        <v>0.15</v>
      </c>
      <c r="CE22" s="73">
        <v>0.15</v>
      </c>
      <c r="CF22" s="73">
        <v>0.15</v>
      </c>
      <c r="CG22" s="73">
        <v>0.15</v>
      </c>
      <c r="CH22" s="73">
        <v>0.15</v>
      </c>
      <c r="CI22" s="73">
        <v>0.15</v>
      </c>
      <c r="CJ22" s="74">
        <v>0.15</v>
      </c>
      <c r="CK22" s="74">
        <v>0.15</v>
      </c>
      <c r="CL22" s="74">
        <v>0.15</v>
      </c>
      <c r="CM22" s="74">
        <v>0.15</v>
      </c>
      <c r="CN22" s="74">
        <v>0.15</v>
      </c>
      <c r="CO22" s="74">
        <v>0.15</v>
      </c>
      <c r="CP22" s="74">
        <v>0.15</v>
      </c>
      <c r="CQ22" s="74">
        <v>0.15</v>
      </c>
      <c r="CR22" s="74">
        <v>0.15</v>
      </c>
      <c r="CS22" s="74">
        <v>0.15</v>
      </c>
      <c r="CT22" s="74">
        <v>0.15</v>
      </c>
      <c r="CU22" s="74">
        <v>0.15</v>
      </c>
      <c r="CV22" s="74">
        <v>0.15</v>
      </c>
      <c r="CW22" s="74">
        <v>0.15</v>
      </c>
      <c r="CX22" s="74">
        <v>0.15</v>
      </c>
      <c r="CY22" s="74">
        <v>0.15</v>
      </c>
      <c r="CZ22" s="74">
        <v>0.15</v>
      </c>
      <c r="DA22" s="74">
        <v>0.15</v>
      </c>
      <c r="DB22" s="74">
        <v>0.15</v>
      </c>
      <c r="DC22" s="74">
        <v>0.15</v>
      </c>
      <c r="DD22" s="74">
        <v>0.15</v>
      </c>
      <c r="DE22" s="74">
        <v>0.15</v>
      </c>
      <c r="DF22" s="74">
        <v>0.15</v>
      </c>
      <c r="DG22" s="74">
        <v>0.15</v>
      </c>
      <c r="DH22" s="74">
        <v>0.15</v>
      </c>
      <c r="DI22" s="74">
        <v>0.15</v>
      </c>
      <c r="DJ22" s="74">
        <v>0.15</v>
      </c>
      <c r="DK22" s="74">
        <v>0.15</v>
      </c>
      <c r="DL22" s="74">
        <v>0.15</v>
      </c>
      <c r="DM22" s="74">
        <v>0.15</v>
      </c>
      <c r="DN22" s="74">
        <v>0.15</v>
      </c>
      <c r="DO22" s="74">
        <v>0.15</v>
      </c>
      <c r="DP22" s="74">
        <v>0.15</v>
      </c>
      <c r="DQ22" s="74">
        <v>0.15</v>
      </c>
      <c r="DR22" s="74">
        <v>0.15</v>
      </c>
      <c r="DS22" s="74">
        <v>0.15</v>
      </c>
      <c r="DT22" s="74">
        <v>0.15</v>
      </c>
      <c r="DU22" s="74">
        <v>0.15</v>
      </c>
      <c r="DV22" s="74">
        <v>0.15</v>
      </c>
      <c r="DW22" s="74">
        <v>0.15</v>
      </c>
      <c r="DX22" s="74">
        <v>0.15</v>
      </c>
      <c r="DY22" s="74">
        <v>0.15</v>
      </c>
      <c r="DZ22" s="74">
        <v>0.15</v>
      </c>
      <c r="EA22" s="74">
        <v>0.15</v>
      </c>
      <c r="EB22" s="74">
        <v>0.15</v>
      </c>
      <c r="EC22" s="74">
        <v>0.15</v>
      </c>
      <c r="ED22" s="74">
        <v>0.15</v>
      </c>
      <c r="EE22" s="74">
        <v>0.15</v>
      </c>
      <c r="EF22" s="74">
        <v>0.15</v>
      </c>
      <c r="EG22" s="74">
        <v>0.15</v>
      </c>
      <c r="EH22" s="74">
        <v>0.15</v>
      </c>
    </row>
    <row r="23" spans="1:138" x14ac:dyDescent="0.35">
      <c r="A23" s="49" t="s">
        <v>77</v>
      </c>
      <c r="B23" s="60" t="s">
        <v>35</v>
      </c>
      <c r="C23" s="51" t="s">
        <v>44</v>
      </c>
      <c r="D23" s="61">
        <f t="shared" ref="D23:AI23" si="40">D24+D30</f>
        <v>988790.75936999987</v>
      </c>
      <c r="E23" s="62">
        <f t="shared" si="40"/>
        <v>989036.85355999996</v>
      </c>
      <c r="F23" s="62">
        <f t="shared" si="40"/>
        <v>969147.32040000008</v>
      </c>
      <c r="G23" s="62">
        <f t="shared" si="40"/>
        <v>1192676.7069599999</v>
      </c>
      <c r="H23" s="62">
        <f t="shared" si="40"/>
        <v>1216502.4066000003</v>
      </c>
      <c r="I23" s="62">
        <f t="shared" si="40"/>
        <v>1227864.9310200003</v>
      </c>
      <c r="J23" s="62">
        <f t="shared" si="40"/>
        <v>1230925.9461699999</v>
      </c>
      <c r="K23" s="62">
        <f t="shared" si="40"/>
        <v>1225944.9040000001</v>
      </c>
      <c r="L23" s="62">
        <f t="shared" si="40"/>
        <v>1241960.3099999998</v>
      </c>
      <c r="M23" s="62">
        <f t="shared" si="40"/>
        <v>1245463.3429700001</v>
      </c>
      <c r="N23" s="62">
        <f t="shared" si="40"/>
        <v>1249265.31006</v>
      </c>
      <c r="O23" s="62">
        <f t="shared" si="40"/>
        <v>1252810.9733400003</v>
      </c>
      <c r="P23" s="54">
        <f t="shared" si="40"/>
        <v>1260519.15973</v>
      </c>
      <c r="Q23" s="54">
        <f t="shared" si="40"/>
        <v>1278616.3289400002</v>
      </c>
      <c r="R23" s="54">
        <f t="shared" si="40"/>
        <v>1292220.7340999998</v>
      </c>
      <c r="S23" s="54">
        <f t="shared" si="40"/>
        <v>1288413.09928</v>
      </c>
      <c r="T23" s="54">
        <f t="shared" si="40"/>
        <v>1309342.4064500001</v>
      </c>
      <c r="U23" s="55">
        <f t="shared" si="40"/>
        <v>1320210.2649599998</v>
      </c>
      <c r="V23" s="55">
        <f t="shared" si="40"/>
        <v>1322759.6212000002</v>
      </c>
      <c r="W23" s="55">
        <f t="shared" si="40"/>
        <v>1316276.2434599998</v>
      </c>
      <c r="X23" s="55">
        <f t="shared" si="40"/>
        <v>1315743.4576000003</v>
      </c>
      <c r="Y23" s="55">
        <f t="shared" si="40"/>
        <v>1313642.5281099998</v>
      </c>
      <c r="Z23" s="55">
        <f t="shared" si="40"/>
        <v>1306406.3199230002</v>
      </c>
      <c r="AA23" s="55">
        <f t="shared" si="40"/>
        <v>1310340.4601072001</v>
      </c>
      <c r="AB23" s="55">
        <f t="shared" si="40"/>
        <v>1245446.7671700001</v>
      </c>
      <c r="AC23" s="55">
        <f t="shared" si="40"/>
        <v>1253003.2915399999</v>
      </c>
      <c r="AD23" s="55">
        <f t="shared" si="40"/>
        <v>1212205.5786000001</v>
      </c>
      <c r="AE23" s="55">
        <f t="shared" si="40"/>
        <v>1215708.0604699999</v>
      </c>
      <c r="AF23" s="55">
        <f t="shared" si="40"/>
        <v>1321954.5215600003</v>
      </c>
      <c r="AG23" s="55">
        <f t="shared" si="40"/>
        <v>1321587.4209999999</v>
      </c>
      <c r="AH23" s="55">
        <f t="shared" si="40"/>
        <v>1291515.5162</v>
      </c>
      <c r="AI23" s="55">
        <f t="shared" si="40"/>
        <v>1277101.58378</v>
      </c>
      <c r="AJ23" s="55">
        <f>AJ24+AJ30</f>
        <v>1262854.0411199997</v>
      </c>
      <c r="AK23" s="55">
        <f>AK24+AK30</f>
        <v>1267984.53116</v>
      </c>
      <c r="AL23" s="55">
        <f>AL24+AL30</f>
        <v>1292497.1669999997</v>
      </c>
      <c r="AM23" s="55">
        <f>AM24+AM30</f>
        <v>1271289.4379999998</v>
      </c>
      <c r="AN23" s="55">
        <v>1264164.06</v>
      </c>
      <c r="AO23" s="56">
        <v>1292672.1967500001</v>
      </c>
      <c r="AP23" s="9">
        <f>AP24+AP30</f>
        <v>1296092.1261200001</v>
      </c>
      <c r="AQ23" s="9">
        <f>AQ24+AQ30</f>
        <v>1344857.1571499999</v>
      </c>
      <c r="AR23" s="9">
        <v>1365820.5980999996</v>
      </c>
      <c r="AS23" s="79">
        <f t="shared" ref="AS23:DD23" si="41">AS24+AS30</f>
        <v>1340273.0387200001</v>
      </c>
      <c r="AT23" s="56">
        <f t="shared" si="41"/>
        <v>1275211.3199999998</v>
      </c>
      <c r="AU23" s="56">
        <f t="shared" si="41"/>
        <v>1265271.5691899997</v>
      </c>
      <c r="AV23" s="81">
        <f t="shared" si="41"/>
        <v>1269063.51</v>
      </c>
      <c r="AW23" s="81">
        <f t="shared" si="41"/>
        <v>1348877.5699999998</v>
      </c>
      <c r="AX23" s="79">
        <f t="shared" si="41"/>
        <v>1273779.3599999999</v>
      </c>
      <c r="AY23" s="79">
        <f t="shared" si="41"/>
        <v>1248680.6200000001</v>
      </c>
      <c r="AZ23" s="9">
        <f t="shared" si="41"/>
        <v>1332157.5699999998</v>
      </c>
      <c r="BA23" s="9">
        <f t="shared" si="41"/>
        <v>1309567.93</v>
      </c>
      <c r="BB23" s="9">
        <f t="shared" si="41"/>
        <v>1280942.6299999999</v>
      </c>
      <c r="BC23" s="9">
        <f t="shared" si="41"/>
        <v>1330156.46</v>
      </c>
      <c r="BD23" s="9">
        <f t="shared" si="41"/>
        <v>1336460.52</v>
      </c>
      <c r="BE23" s="56">
        <f t="shared" si="41"/>
        <v>1249991.9099999999</v>
      </c>
      <c r="BF23" s="56">
        <f t="shared" si="41"/>
        <v>1294109.96</v>
      </c>
      <c r="BG23" s="56">
        <f t="shared" si="41"/>
        <v>1255361.1800000002</v>
      </c>
      <c r="BH23" s="63">
        <f t="shared" si="41"/>
        <v>1226710.01</v>
      </c>
      <c r="BI23" s="63">
        <f t="shared" si="41"/>
        <v>1299876.3099999998</v>
      </c>
      <c r="BJ23" s="63">
        <f t="shared" si="41"/>
        <v>1260541.3999999999</v>
      </c>
      <c r="BK23" s="63">
        <f t="shared" si="41"/>
        <v>1246281.79</v>
      </c>
      <c r="BL23" s="63">
        <f t="shared" si="41"/>
        <v>1318028.97</v>
      </c>
      <c r="BM23" s="63">
        <f t="shared" si="41"/>
        <v>1320057.9699532001</v>
      </c>
      <c r="BN23" s="63">
        <f t="shared" si="41"/>
        <v>1284671.8399999999</v>
      </c>
      <c r="BO23" s="63">
        <f t="shared" si="41"/>
        <v>1351858.9200000002</v>
      </c>
      <c r="BP23" s="63">
        <f t="shared" si="41"/>
        <v>1359536.8719199998</v>
      </c>
      <c r="BQ23" s="63">
        <f t="shared" si="41"/>
        <v>1294020.51</v>
      </c>
      <c r="BR23" s="63">
        <f t="shared" si="41"/>
        <v>1305847.9400000002</v>
      </c>
      <c r="BS23" s="63">
        <f t="shared" si="41"/>
        <v>1348908.23</v>
      </c>
      <c r="BT23" s="63">
        <f t="shared" si="41"/>
        <v>1309502.03</v>
      </c>
      <c r="BU23" s="63">
        <f t="shared" si="41"/>
        <v>1365516.95</v>
      </c>
      <c r="BV23" s="63">
        <f t="shared" si="41"/>
        <v>1383403.06</v>
      </c>
      <c r="BW23" s="63">
        <f t="shared" si="41"/>
        <v>1357335.5104400001</v>
      </c>
      <c r="BX23" s="63">
        <f t="shared" si="41"/>
        <v>1435682.86</v>
      </c>
      <c r="BY23" s="63">
        <f t="shared" si="41"/>
        <v>1387173.15</v>
      </c>
      <c r="BZ23" s="63">
        <f t="shared" si="41"/>
        <v>1379498.44</v>
      </c>
      <c r="CA23" s="63">
        <f t="shared" si="41"/>
        <v>1427882.04</v>
      </c>
      <c r="CB23" s="63">
        <f t="shared" si="41"/>
        <v>1401609.8199999998</v>
      </c>
      <c r="CC23" s="63">
        <f t="shared" si="41"/>
        <v>1352746.2711099999</v>
      </c>
      <c r="CD23" s="63">
        <f t="shared" si="41"/>
        <v>1426752.0783299999</v>
      </c>
      <c r="CE23" s="63">
        <f t="shared" si="41"/>
        <v>1432061.33</v>
      </c>
      <c r="CF23" s="63">
        <f t="shared" si="41"/>
        <v>1421286.6343200002</v>
      </c>
      <c r="CG23" s="63">
        <f t="shared" si="41"/>
        <v>1400399.97596</v>
      </c>
      <c r="CH23" s="63">
        <f t="shared" si="41"/>
        <v>1409069.84</v>
      </c>
      <c r="CI23" s="63">
        <f t="shared" si="41"/>
        <v>1405448.6176799999</v>
      </c>
      <c r="CJ23" s="64">
        <f t="shared" si="41"/>
        <v>1412092.589952</v>
      </c>
      <c r="CK23" s="64">
        <f t="shared" si="41"/>
        <v>1409973.97</v>
      </c>
      <c r="CL23" s="64">
        <f t="shared" si="41"/>
        <v>1379673.39466</v>
      </c>
      <c r="CM23" s="64">
        <f t="shared" si="41"/>
        <v>1390553.0004960001</v>
      </c>
      <c r="CN23" s="64">
        <f t="shared" si="41"/>
        <v>1375965.52</v>
      </c>
      <c r="CO23" s="64">
        <f t="shared" si="41"/>
        <v>1383166.25</v>
      </c>
      <c r="CP23" s="64">
        <f t="shared" si="41"/>
        <v>1393554.8969999999</v>
      </c>
      <c r="CQ23" s="64">
        <f t="shared" si="41"/>
        <v>1397152.5059359998</v>
      </c>
      <c r="CR23" s="64">
        <f t="shared" si="41"/>
        <v>1370556.5699999998</v>
      </c>
      <c r="CS23" s="64">
        <f t="shared" si="41"/>
        <v>1387187.3118100001</v>
      </c>
      <c r="CT23" s="64">
        <f t="shared" si="41"/>
        <v>1379266.3399999999</v>
      </c>
      <c r="CU23" s="64">
        <f t="shared" si="41"/>
        <v>1353074.4999999998</v>
      </c>
      <c r="CV23" s="64">
        <f t="shared" si="41"/>
        <v>1373849.5398600001</v>
      </c>
      <c r="CW23" s="64">
        <f t="shared" si="41"/>
        <v>1392502.21</v>
      </c>
      <c r="CX23" s="64">
        <f t="shared" si="41"/>
        <v>1381633.19</v>
      </c>
      <c r="CY23" s="64">
        <f t="shared" si="41"/>
        <v>1363960.0539332891</v>
      </c>
      <c r="CZ23" s="64">
        <f t="shared" si="41"/>
        <v>1444675.398614536</v>
      </c>
      <c r="DA23" s="64">
        <f t="shared" si="41"/>
        <v>1441978.6187998862</v>
      </c>
      <c r="DB23" s="64">
        <f t="shared" si="41"/>
        <v>1443990.822834</v>
      </c>
      <c r="DC23" s="64">
        <f t="shared" si="41"/>
        <v>1425842.9988197999</v>
      </c>
      <c r="DD23" s="64">
        <f t="shared" si="41"/>
        <v>1419915.8814719999</v>
      </c>
      <c r="DE23" s="64">
        <f t="shared" ref="DE23" si="42">DE24+DE30</f>
        <v>1424597.011992</v>
      </c>
      <c r="DF23" s="64">
        <f>DF24+DF30+0.01</f>
        <v>1413787.9963509999</v>
      </c>
      <c r="DG23" s="64">
        <f t="shared" ref="DG23:DU23" si="43">DG24+DG30</f>
        <v>1431999.798372</v>
      </c>
      <c r="DH23" s="64">
        <f t="shared" si="43"/>
        <v>1450799.2508759997</v>
      </c>
      <c r="DI23" s="64">
        <f t="shared" si="43"/>
        <v>1430550.3356310001</v>
      </c>
      <c r="DJ23" s="64">
        <f t="shared" si="43"/>
        <v>1430054.8783320002</v>
      </c>
      <c r="DK23" s="64">
        <f t="shared" si="43"/>
        <v>1417356.3776100001</v>
      </c>
      <c r="DL23" s="64">
        <f t="shared" si="43"/>
        <v>1411964.31663</v>
      </c>
      <c r="DM23" s="64">
        <f t="shared" si="43"/>
        <v>1453490.8218240002</v>
      </c>
      <c r="DN23" s="64">
        <f t="shared" si="43"/>
        <v>1451939.6136960001</v>
      </c>
      <c r="DO23" s="64">
        <f t="shared" si="43"/>
        <v>1407690.0757920002</v>
      </c>
      <c r="DP23" s="64">
        <f t="shared" si="43"/>
        <v>1396182.4008309999</v>
      </c>
      <c r="DQ23" s="64">
        <f t="shared" si="43"/>
        <v>1396804.6795500002</v>
      </c>
      <c r="DR23" s="64">
        <f t="shared" si="43"/>
        <v>1383137.863407</v>
      </c>
      <c r="DS23" s="64">
        <f t="shared" si="43"/>
        <v>1413925.9697460001</v>
      </c>
      <c r="DT23" s="64">
        <f t="shared" si="43"/>
        <v>1424288.2424119997</v>
      </c>
      <c r="DU23" s="64">
        <f t="shared" si="43"/>
        <v>1418236.221996</v>
      </c>
      <c r="DV23" s="64">
        <f t="shared" ref="DV23:DW23" si="44">DV24+DV30</f>
        <v>1417197.1147940001</v>
      </c>
      <c r="DW23" s="64">
        <f t="shared" si="44"/>
        <v>1403039.4510830003</v>
      </c>
      <c r="DX23" s="64">
        <f t="shared" ref="DX23:DY23" si="45">DX24+DX30</f>
        <v>1400593.8358840002</v>
      </c>
      <c r="DY23" s="64">
        <f t="shared" si="45"/>
        <v>1395753.7576099997</v>
      </c>
      <c r="DZ23" s="64">
        <f t="shared" ref="DZ23:EA23" si="46">DZ24+DZ30</f>
        <v>1382001.2802096</v>
      </c>
      <c r="EA23" s="64">
        <f t="shared" si="46"/>
        <v>1378491.06528</v>
      </c>
      <c r="EB23" s="64">
        <f t="shared" ref="EB23" si="47">EB24+EB30</f>
        <v>1370969.0509349999</v>
      </c>
      <c r="EC23" s="64">
        <f t="shared" ref="EC23:ED23" si="48">EC24+EC30</f>
        <v>1416664.019323</v>
      </c>
      <c r="ED23" s="64">
        <f t="shared" si="48"/>
        <v>1409740.3244630001</v>
      </c>
      <c r="EE23" s="64">
        <f t="shared" ref="EE23:EF23" si="49">EE24+EE30</f>
        <v>1420704.8470000001</v>
      </c>
      <c r="EF23" s="64">
        <f t="shared" si="49"/>
        <v>1353515.6542774304</v>
      </c>
      <c r="EG23" s="64">
        <f t="shared" ref="EG23:EH23" si="50">EG24+EG30</f>
        <v>1356182.2027699</v>
      </c>
      <c r="EH23" s="64">
        <f t="shared" si="50"/>
        <v>1349869.8636359</v>
      </c>
    </row>
    <row r="24" spans="1:138" x14ac:dyDescent="0.35">
      <c r="A24" s="49" t="s">
        <v>78</v>
      </c>
      <c r="B24" s="78" t="s">
        <v>36</v>
      </c>
      <c r="C24" s="51" t="s">
        <v>54</v>
      </c>
      <c r="D24" s="61">
        <f t="shared" ref="D24:O24" si="51">SUM(D25:D29)</f>
        <v>77695.080780000004</v>
      </c>
      <c r="E24" s="62">
        <f t="shared" si="51"/>
        <v>75607.229530000011</v>
      </c>
      <c r="F24" s="62">
        <f t="shared" si="51"/>
        <v>41540.734320000003</v>
      </c>
      <c r="G24" s="62">
        <f t="shared" si="51"/>
        <v>24411.99222</v>
      </c>
      <c r="H24" s="62">
        <f t="shared" si="51"/>
        <v>41956.486799999999</v>
      </c>
      <c r="I24" s="62">
        <f t="shared" si="51"/>
        <v>39288.248999999996</v>
      </c>
      <c r="J24" s="62">
        <f t="shared" si="51"/>
        <v>34248.642940000005</v>
      </c>
      <c r="K24" s="62">
        <f t="shared" si="51"/>
        <v>30978.435600000001</v>
      </c>
      <c r="L24" s="62">
        <f t="shared" si="51"/>
        <v>39303.455999999998</v>
      </c>
      <c r="M24" s="62">
        <f t="shared" si="51"/>
        <v>32616.648960000002</v>
      </c>
      <c r="N24" s="62">
        <f t="shared" si="51"/>
        <v>39455.742359999997</v>
      </c>
      <c r="O24" s="62">
        <f t="shared" si="51"/>
        <v>3954.1640400000001</v>
      </c>
      <c r="P24" s="54">
        <f t="shared" ref="P24:AM24" si="52">SUM(P25:P29)</f>
        <v>4655.22498</v>
      </c>
      <c r="Q24" s="54">
        <f t="shared" si="52"/>
        <v>5731.2872699999998</v>
      </c>
      <c r="R24" s="54">
        <f t="shared" si="52"/>
        <v>5927.3861499999994</v>
      </c>
      <c r="S24" s="54">
        <f t="shared" si="52"/>
        <v>5796.3655600000002</v>
      </c>
      <c r="T24" s="54">
        <f t="shared" si="52"/>
        <v>5919.3732799999998</v>
      </c>
      <c r="U24" s="55">
        <f t="shared" si="52"/>
        <v>6003.0547200000001</v>
      </c>
      <c r="V24" s="55">
        <f t="shared" si="52"/>
        <v>6339.124240000001</v>
      </c>
      <c r="W24" s="55">
        <f t="shared" si="52"/>
        <v>6490.666729999999</v>
      </c>
      <c r="X24" s="55">
        <f t="shared" si="52"/>
        <v>17082.573200000003</v>
      </c>
      <c r="Y24" s="55">
        <f t="shared" si="52"/>
        <v>16814.76801</v>
      </c>
      <c r="Z24" s="55">
        <f t="shared" si="52"/>
        <v>16257.843622999999</v>
      </c>
      <c r="AA24" s="55">
        <f t="shared" si="52"/>
        <v>16145.160255999999</v>
      </c>
      <c r="AB24" s="55">
        <f t="shared" si="52"/>
        <v>15440.139252000001</v>
      </c>
      <c r="AC24" s="55">
        <f t="shared" si="52"/>
        <v>15539.229419999998</v>
      </c>
      <c r="AD24" s="55">
        <f t="shared" si="52"/>
        <v>5289.1213360000002</v>
      </c>
      <c r="AE24" s="55">
        <f t="shared" si="52"/>
        <v>5282.6434000000008</v>
      </c>
      <c r="AF24" s="55">
        <f t="shared" si="52"/>
        <v>7130.5630000000001</v>
      </c>
      <c r="AG24" s="55">
        <f t="shared" si="52"/>
        <v>6820.2749999999996</v>
      </c>
      <c r="AH24" s="55">
        <f t="shared" si="52"/>
        <v>5969.7509199999995</v>
      </c>
      <c r="AI24" s="55">
        <f t="shared" si="52"/>
        <v>6530.8766599999999</v>
      </c>
      <c r="AJ24" s="55">
        <f t="shared" si="52"/>
        <v>6725.0215199999993</v>
      </c>
      <c r="AK24" s="55">
        <f t="shared" si="52"/>
        <v>6971.49496</v>
      </c>
      <c r="AL24" s="55">
        <f t="shared" si="52"/>
        <v>6369.2561399999995</v>
      </c>
      <c r="AM24" s="55">
        <f t="shared" si="52"/>
        <v>18494.597999999998</v>
      </c>
      <c r="AN24" s="55">
        <v>6867.6</v>
      </c>
      <c r="AO24" s="56">
        <v>6599.7690000000002</v>
      </c>
      <c r="AP24" s="9">
        <f>SUM(AP25:AP29)</f>
        <v>18196.661670000001</v>
      </c>
      <c r="AQ24" s="9">
        <f>SUM(AQ25:AQ29)</f>
        <v>18352.567150000003</v>
      </c>
      <c r="AR24" s="9">
        <v>17579.120039999998</v>
      </c>
      <c r="AS24" s="79">
        <f t="shared" ref="AS24:DD24" si="53">SUM(AS25:AS29)</f>
        <v>16977.620220000004</v>
      </c>
      <c r="AT24" s="9">
        <f t="shared" si="53"/>
        <v>15842.89</v>
      </c>
      <c r="AU24" s="9">
        <f t="shared" si="53"/>
        <v>15501.210000000001</v>
      </c>
      <c r="AV24" s="81">
        <f t="shared" si="53"/>
        <v>15351.49</v>
      </c>
      <c r="AW24" s="81">
        <f t="shared" si="53"/>
        <v>16100.630000000001</v>
      </c>
      <c r="AX24" s="79">
        <f t="shared" si="53"/>
        <v>15031.699999999999</v>
      </c>
      <c r="AY24" s="79">
        <f t="shared" si="53"/>
        <v>14278.08</v>
      </c>
      <c r="AZ24" s="9">
        <f t="shared" si="53"/>
        <v>14845.69</v>
      </c>
      <c r="BA24" s="9">
        <f t="shared" si="53"/>
        <v>17479.22</v>
      </c>
      <c r="BB24" s="9">
        <f t="shared" si="53"/>
        <v>5753.9</v>
      </c>
      <c r="BC24" s="9">
        <f t="shared" si="53"/>
        <v>6954.51</v>
      </c>
      <c r="BD24" s="9">
        <f t="shared" si="53"/>
        <v>6689.33</v>
      </c>
      <c r="BE24" s="56">
        <f t="shared" si="53"/>
        <v>6122.71</v>
      </c>
      <c r="BF24" s="56">
        <f t="shared" si="53"/>
        <v>6319.48</v>
      </c>
      <c r="BG24" s="56">
        <f t="shared" si="53"/>
        <v>5758.6100000000006</v>
      </c>
      <c r="BH24" s="63">
        <f t="shared" si="53"/>
        <v>5687.21</v>
      </c>
      <c r="BI24" s="63">
        <f t="shared" si="53"/>
        <v>6234.89</v>
      </c>
      <c r="BJ24" s="63">
        <f t="shared" si="53"/>
        <v>5986.79</v>
      </c>
      <c r="BK24" s="63">
        <f t="shared" si="53"/>
        <v>4271.58</v>
      </c>
      <c r="BL24" s="63">
        <f t="shared" si="53"/>
        <v>4016.9400000000005</v>
      </c>
      <c r="BM24" s="63">
        <f t="shared" si="53"/>
        <v>1822.29</v>
      </c>
      <c r="BN24" s="63">
        <f t="shared" si="53"/>
        <v>1764.1399999999999</v>
      </c>
      <c r="BO24" s="63">
        <f t="shared" si="53"/>
        <v>2502.5299999999997</v>
      </c>
      <c r="BP24" s="63">
        <f t="shared" si="53"/>
        <v>2522.9700000000003</v>
      </c>
      <c r="BQ24" s="63">
        <f t="shared" si="53"/>
        <v>2429.9899999999998</v>
      </c>
      <c r="BR24" s="63">
        <f t="shared" si="53"/>
        <v>2599.0500000000002</v>
      </c>
      <c r="BS24" s="63">
        <f t="shared" si="53"/>
        <v>2084.2999999999997</v>
      </c>
      <c r="BT24" s="63">
        <f t="shared" si="53"/>
        <v>2416.48</v>
      </c>
      <c r="BU24" s="63">
        <f t="shared" si="53"/>
        <v>2109.5500000000002</v>
      </c>
      <c r="BV24" s="63">
        <f t="shared" si="53"/>
        <v>2081.5899999999997</v>
      </c>
      <c r="BW24" s="63">
        <f t="shared" si="53"/>
        <v>2162.0756799999999</v>
      </c>
      <c r="BX24" s="63">
        <f t="shared" si="53"/>
        <v>2206.6</v>
      </c>
      <c r="BY24" s="63">
        <f t="shared" si="53"/>
        <v>2099.9</v>
      </c>
      <c r="BZ24" s="63">
        <f t="shared" si="53"/>
        <v>1797.9399999999998</v>
      </c>
      <c r="CA24" s="63">
        <f t="shared" si="53"/>
        <v>1545.87</v>
      </c>
      <c r="CB24" s="63">
        <f t="shared" si="53"/>
        <v>1501.1389999999999</v>
      </c>
      <c r="CC24" s="63">
        <f t="shared" si="53"/>
        <v>1384.0945400000001</v>
      </c>
      <c r="CD24" s="63">
        <f t="shared" si="53"/>
        <v>1494.3235199999999</v>
      </c>
      <c r="CE24" s="63">
        <f t="shared" si="53"/>
        <v>1441.38</v>
      </c>
      <c r="CF24" s="63">
        <f t="shared" si="53"/>
        <v>930.52679999999987</v>
      </c>
      <c r="CG24" s="63">
        <f t="shared" si="53"/>
        <v>1272.1770899999999</v>
      </c>
      <c r="CH24" s="63">
        <f t="shared" si="53"/>
        <v>1644.7199999999998</v>
      </c>
      <c r="CI24" s="63">
        <f t="shared" si="53"/>
        <v>1537.8</v>
      </c>
      <c r="CJ24" s="64">
        <f t="shared" si="53"/>
        <v>1409.18</v>
      </c>
      <c r="CK24" s="64">
        <f t="shared" si="53"/>
        <v>1409.71</v>
      </c>
      <c r="CL24" s="64">
        <f t="shared" si="53"/>
        <v>1332.1948199999999</v>
      </c>
      <c r="CM24" s="64">
        <f t="shared" si="53"/>
        <v>1427.328606</v>
      </c>
      <c r="CN24" s="64">
        <f t="shared" si="53"/>
        <v>1144.5900000000001</v>
      </c>
      <c r="CO24" s="64">
        <f t="shared" si="53"/>
        <v>1045.29</v>
      </c>
      <c r="CP24" s="64">
        <f t="shared" si="53"/>
        <v>885.9670000000001</v>
      </c>
      <c r="CQ24" s="64">
        <f t="shared" si="53"/>
        <v>884.9572159999999</v>
      </c>
      <c r="CR24" s="64">
        <f t="shared" si="53"/>
        <v>982.25</v>
      </c>
      <c r="CS24" s="64">
        <f t="shared" si="53"/>
        <v>944.65445499999998</v>
      </c>
      <c r="CT24" s="64">
        <f t="shared" si="53"/>
        <v>1332.66</v>
      </c>
      <c r="CU24" s="64">
        <f t="shared" si="53"/>
        <v>728.91</v>
      </c>
      <c r="CV24" s="64">
        <f t="shared" si="53"/>
        <v>737.43360600000005</v>
      </c>
      <c r="CW24" s="64">
        <f t="shared" si="53"/>
        <v>688.77</v>
      </c>
      <c r="CX24" s="64">
        <f t="shared" si="53"/>
        <v>603.02</v>
      </c>
      <c r="CY24" s="64">
        <f t="shared" si="53"/>
        <v>713.30445171680003</v>
      </c>
      <c r="CZ24" s="64">
        <f t="shared" si="53"/>
        <v>703.33187628619999</v>
      </c>
      <c r="DA24" s="64">
        <f t="shared" si="53"/>
        <v>3955.4875200000001</v>
      </c>
      <c r="DB24" s="64">
        <f t="shared" si="53"/>
        <v>4081.4553900000001</v>
      </c>
      <c r="DC24" s="64">
        <f t="shared" si="53"/>
        <v>4166.5169568000001</v>
      </c>
      <c r="DD24" s="64">
        <f t="shared" si="53"/>
        <v>822.78662400000007</v>
      </c>
      <c r="DE24" s="64">
        <f t="shared" ref="DE24:DU24" si="54">SUM(DE25:DE29)</f>
        <v>797.7307800000001</v>
      </c>
      <c r="DF24" s="64">
        <f t="shared" si="54"/>
        <v>798.00358299999994</v>
      </c>
      <c r="DG24" s="64">
        <f t="shared" si="54"/>
        <v>725.53080599999998</v>
      </c>
      <c r="DH24" s="64">
        <f t="shared" si="54"/>
        <v>648.10768399999984</v>
      </c>
      <c r="DI24" s="64">
        <f t="shared" si="54"/>
        <v>39793.388213999999</v>
      </c>
      <c r="DJ24" s="64">
        <f t="shared" si="54"/>
        <v>54066.016096000007</v>
      </c>
      <c r="DK24" s="64">
        <f t="shared" si="54"/>
        <v>59755.285905000004</v>
      </c>
      <c r="DL24" s="64">
        <f t="shared" si="54"/>
        <v>50781.681540000005</v>
      </c>
      <c r="DM24" s="64">
        <f t="shared" si="54"/>
        <v>51495.495168000009</v>
      </c>
      <c r="DN24" s="64">
        <f t="shared" si="54"/>
        <v>50985.871391000001</v>
      </c>
      <c r="DO24" s="64">
        <f t="shared" si="54"/>
        <v>25835.768959000001</v>
      </c>
      <c r="DP24" s="64">
        <f t="shared" si="54"/>
        <v>25889.959768000001</v>
      </c>
      <c r="DQ24" s="64">
        <f t="shared" si="54"/>
        <v>24113.050920000001</v>
      </c>
      <c r="DR24" s="64">
        <f t="shared" si="54"/>
        <v>14463.687040999999</v>
      </c>
      <c r="DS24" s="64">
        <f t="shared" si="54"/>
        <v>39078.920933999994</v>
      </c>
      <c r="DT24" s="64">
        <f t="shared" si="54"/>
        <v>39575.477703999997</v>
      </c>
      <c r="DU24" s="64">
        <f t="shared" si="54"/>
        <v>29301.163956000004</v>
      </c>
      <c r="DV24" s="64">
        <f t="shared" ref="DV24:DW24" si="55">SUM(DV25:DV29)</f>
        <v>29078.695322000003</v>
      </c>
      <c r="DW24" s="64">
        <f t="shared" si="55"/>
        <v>15144.477904000001</v>
      </c>
      <c r="DX24" s="64">
        <f t="shared" ref="DX24:DY24" si="56">SUM(DX25:DX29)</f>
        <v>15063.769025999998</v>
      </c>
      <c r="DY24" s="64">
        <f t="shared" si="56"/>
        <v>12061.130034999998</v>
      </c>
      <c r="DZ24" s="64">
        <f t="shared" ref="DZ24:EA24" si="57">SUM(DZ25:DZ29)</f>
        <v>787.94431999999995</v>
      </c>
      <c r="EA24" s="64">
        <f t="shared" si="57"/>
        <v>777.00520799999993</v>
      </c>
      <c r="EB24" s="64">
        <f t="shared" ref="EB24:EC24" si="58">SUM(EB25:EB29)</f>
        <v>661.32152999999994</v>
      </c>
      <c r="EC24" s="64">
        <f t="shared" si="58"/>
        <v>650.65000000000009</v>
      </c>
      <c r="ED24" s="64">
        <f t="shared" ref="ED24:EH24" si="59">SUM(ED25:ED29)</f>
        <v>643.20935099999997</v>
      </c>
      <c r="EE24" s="64">
        <f t="shared" si="59"/>
        <v>121.31699999999999</v>
      </c>
      <c r="EF24" s="64">
        <f t="shared" si="59"/>
        <v>181.88250500000001</v>
      </c>
      <c r="EG24" s="64">
        <f t="shared" si="59"/>
        <v>175.86917700000001</v>
      </c>
      <c r="EH24" s="64">
        <f t="shared" si="59"/>
        <v>1501.7594866100001</v>
      </c>
    </row>
    <row r="25" spans="1:138" x14ac:dyDescent="0.35">
      <c r="A25" s="49" t="s">
        <v>79</v>
      </c>
      <c r="B25" s="66" t="s">
        <v>37</v>
      </c>
      <c r="C25" s="51" t="s">
        <v>55</v>
      </c>
      <c r="D25" s="67">
        <f>35.3*115.6521</f>
        <v>4082.5191299999997</v>
      </c>
      <c r="E25" s="68">
        <f>31.7*116.1223</f>
        <v>3681.0769099999998</v>
      </c>
      <c r="F25" s="68">
        <f>29.4*116.9832</f>
        <v>3439.3060799999998</v>
      </c>
      <c r="G25" s="68">
        <f>24.7*117.4218</f>
        <v>2900.31846</v>
      </c>
      <c r="H25" s="68">
        <f>80.8*117.8553</f>
        <v>9522.7082399999999</v>
      </c>
      <c r="I25" s="68">
        <f>72.3*119.0553</f>
        <v>8607.6981899999992</v>
      </c>
      <c r="J25" s="68">
        <f>67.7*119.8343</f>
        <v>8112.7821100000001</v>
      </c>
      <c r="K25" s="68">
        <f>64.7*119.932</f>
        <v>7759.6004000000003</v>
      </c>
      <c r="L25" s="68">
        <f>79.9*120.415</f>
        <v>9621.1585000000014</v>
      </c>
      <c r="M25" s="68">
        <f>36*121.3417</f>
        <v>4368.3011999999999</v>
      </c>
      <c r="N25" s="68">
        <f>81.8*121.8522</f>
        <v>9967.5099599999994</v>
      </c>
      <c r="O25" s="68">
        <f>24.8*122.0421</f>
        <v>3026.64408</v>
      </c>
      <c r="P25" s="69">
        <f>27.3*123.1541</f>
        <v>3362.1069299999999</v>
      </c>
      <c r="Q25" s="69">
        <f>33.5*125.4111</f>
        <v>4201.2718500000001</v>
      </c>
      <c r="R25" s="69">
        <f>33.3*126.3835</f>
        <v>4208.5705499999995</v>
      </c>
      <c r="S25" s="69">
        <f>33.2*126.5582</f>
        <v>4201.7322400000003</v>
      </c>
      <c r="T25" s="69">
        <f>33.7*127.5727</f>
        <v>4299.1999900000001</v>
      </c>
      <c r="U25" s="70">
        <f>30.7*128.2704</f>
        <v>3937.9012799999996</v>
      </c>
      <c r="V25" s="70">
        <f>27.2*129.1064</f>
        <v>3511.6940800000002</v>
      </c>
      <c r="W25" s="70">
        <f>28.2*129.0391</f>
        <v>3638.9026199999998</v>
      </c>
      <c r="X25" s="70">
        <f>28.4*128.4404</f>
        <v>3647.7073600000003</v>
      </c>
      <c r="Y25" s="70">
        <f>26.9*128.2591</f>
        <v>3450.1697899999995</v>
      </c>
      <c r="Z25" s="70">
        <f>26.1*128.1053</f>
        <v>3343.5483300000001</v>
      </c>
      <c r="AA25" s="70">
        <f>26.12*128.6672</f>
        <v>3360.7872640000005</v>
      </c>
      <c r="AB25" s="70">
        <f>26.12*129.4011</f>
        <v>3379.9567320000006</v>
      </c>
      <c r="AC25" s="70">
        <f>25.6*130.1443</f>
        <v>3331.6940799999998</v>
      </c>
      <c r="AD25" s="70">
        <f>25.3*128.6288</f>
        <v>3254.3086400000002</v>
      </c>
      <c r="AE25" s="70">
        <f>25.17*128.2195</f>
        <v>3227.2848150000004</v>
      </c>
      <c r="AF25" s="70">
        <f>25.2*129.6466</f>
        <v>3267.0943200000002</v>
      </c>
      <c r="AG25" s="70">
        <f>25.2*129.91</f>
        <v>3273.732</v>
      </c>
      <c r="AH25" s="70">
        <f>26.2*127.2868</f>
        <v>3334.9141599999998</v>
      </c>
      <c r="AI25" s="70">
        <f>31*126.0787</f>
        <v>3908.4396999999999</v>
      </c>
      <c r="AJ25" s="70">
        <f>30.4*125.0004</f>
        <v>3800.0121599999998</v>
      </c>
      <c r="AK25" s="70">
        <f>27.5*125.3866</f>
        <v>3448.1315</v>
      </c>
      <c r="AL25" s="70">
        <f>28.7*128.154</f>
        <v>3678.0198</v>
      </c>
      <c r="AM25" s="70">
        <f>28.3*125.985</f>
        <v>3565.3755000000001</v>
      </c>
      <c r="AN25" s="70">
        <v>3659.38</v>
      </c>
      <c r="AO25" s="71">
        <v>3376.6259999999997</v>
      </c>
      <c r="AP25" s="5">
        <v>3442.3435199999994</v>
      </c>
      <c r="AQ25" s="11">
        <v>3575.7031200000001</v>
      </c>
      <c r="AR25" s="11">
        <v>3507.5708999999997</v>
      </c>
      <c r="AS25" s="71">
        <v>3295.5762400000003</v>
      </c>
      <c r="AT25" s="71">
        <v>3137.72</v>
      </c>
      <c r="AU25" s="71">
        <v>2849.77</v>
      </c>
      <c r="AV25" s="15">
        <v>3039.65</v>
      </c>
      <c r="AW25" s="15">
        <v>3225.57</v>
      </c>
      <c r="AX25" s="72">
        <v>3052.71</v>
      </c>
      <c r="AY25" s="72">
        <v>2162.58</v>
      </c>
      <c r="AZ25" s="6">
        <v>2307.83</v>
      </c>
      <c r="BA25" s="6">
        <v>2231.39</v>
      </c>
      <c r="BB25" s="6">
        <v>2201.9499999999998</v>
      </c>
      <c r="BC25" s="6">
        <v>2227.08</v>
      </c>
      <c r="BD25" s="6">
        <v>2726.4</v>
      </c>
      <c r="BE25" s="5">
        <v>2757.25</v>
      </c>
      <c r="BF25" s="5">
        <v>2872.49</v>
      </c>
      <c r="BG25" s="5">
        <v>2566.9299999999998</v>
      </c>
      <c r="BH25" s="20">
        <v>2744.18</v>
      </c>
      <c r="BI25" s="20">
        <v>2933.15</v>
      </c>
      <c r="BJ25" s="20">
        <v>2890.65</v>
      </c>
      <c r="BK25" s="20">
        <v>1225.29</v>
      </c>
      <c r="BL25" s="20">
        <v>814.82</v>
      </c>
      <c r="BM25" s="20">
        <v>817.88</v>
      </c>
      <c r="BN25" s="20">
        <v>798.06</v>
      </c>
      <c r="BO25" s="20">
        <v>1565.04</v>
      </c>
      <c r="BP25" s="20">
        <v>1582.45</v>
      </c>
      <c r="BQ25" s="20">
        <v>1534.73</v>
      </c>
      <c r="BR25" s="20">
        <v>1742.38</v>
      </c>
      <c r="BS25" s="20">
        <v>1776.06</v>
      </c>
      <c r="BT25" s="20">
        <v>1560.58</v>
      </c>
      <c r="BU25" s="20">
        <v>1256.75</v>
      </c>
      <c r="BV25" s="20">
        <v>1200.33</v>
      </c>
      <c r="BW25" s="20">
        <v>1143.3341399999999</v>
      </c>
      <c r="BX25" s="20">
        <v>1157.31</v>
      </c>
      <c r="BY25" s="20">
        <v>1118.6500000000001</v>
      </c>
      <c r="BZ25" s="73">
        <v>1104.07</v>
      </c>
      <c r="CA25" s="73">
        <v>726.56</v>
      </c>
      <c r="CB25" s="73">
        <v>717.87</v>
      </c>
      <c r="CC25" s="73">
        <v>662.59844999999996</v>
      </c>
      <c r="CD25" s="73">
        <v>669.33240999999998</v>
      </c>
      <c r="CE25" s="73">
        <v>673.69</v>
      </c>
      <c r="CF25" s="73">
        <v>480.77217999999999</v>
      </c>
      <c r="CG25" s="73">
        <v>628.23559999999998</v>
      </c>
      <c r="CH25" s="73">
        <v>622.41</v>
      </c>
      <c r="CI25" s="73">
        <v>630.5</v>
      </c>
      <c r="CJ25" s="74">
        <v>596.19000000000005</v>
      </c>
      <c r="CK25" s="74">
        <v>592.66999999999996</v>
      </c>
      <c r="CL25" s="74">
        <v>578.95155999999997</v>
      </c>
      <c r="CM25" s="74">
        <v>800.47169400000007</v>
      </c>
      <c r="CN25" s="74">
        <v>707.98</v>
      </c>
      <c r="CO25" s="74">
        <v>695.33</v>
      </c>
      <c r="CP25" s="74">
        <v>569.37400000000002</v>
      </c>
      <c r="CQ25" s="74">
        <v>577.07874399999992</v>
      </c>
      <c r="CR25" s="74">
        <v>679.67</v>
      </c>
      <c r="CS25" s="74">
        <v>702.71195999999998</v>
      </c>
      <c r="CT25" s="74">
        <v>687.08</v>
      </c>
      <c r="CU25" s="74">
        <v>679.11</v>
      </c>
      <c r="CV25" s="74">
        <v>688.37357400000008</v>
      </c>
      <c r="CW25" s="74">
        <v>688.77</v>
      </c>
      <c r="CX25" s="74">
        <v>599.92999999999995</v>
      </c>
      <c r="CY25" s="74">
        <v>610.06842400000005</v>
      </c>
      <c r="CZ25" s="74">
        <v>600.50098777690005</v>
      </c>
      <c r="DA25" s="74">
        <v>600.16438000000005</v>
      </c>
      <c r="DB25" s="74">
        <v>600.90260999999998</v>
      </c>
      <c r="DC25" s="74">
        <v>609.89316299999996</v>
      </c>
      <c r="DD25" s="74">
        <v>435.41062400000004</v>
      </c>
      <c r="DE25" s="74">
        <v>436.40566200000001</v>
      </c>
      <c r="DF25" s="74">
        <v>435.84478599999994</v>
      </c>
      <c r="DG25" s="74">
        <v>428.51179799999994</v>
      </c>
      <c r="DH25" s="74">
        <v>433.11796799999991</v>
      </c>
      <c r="DI25" s="74">
        <v>430.06402799999995</v>
      </c>
      <c r="DJ25" s="74">
        <v>429.81482499999998</v>
      </c>
      <c r="DK25" s="74">
        <v>5790.74766</v>
      </c>
      <c r="DL25" s="74">
        <v>5817.121110000001</v>
      </c>
      <c r="DM25" s="74">
        <v>6178.2532880000008</v>
      </c>
      <c r="DN25" s="74">
        <v>6182.4685650000001</v>
      </c>
      <c r="DO25" s="74">
        <v>5939.6006670000006</v>
      </c>
      <c r="DP25" s="74">
        <v>6057.9878069999995</v>
      </c>
      <c r="DQ25" s="74">
        <v>4156.3368</v>
      </c>
      <c r="DR25" s="74">
        <v>4153.6096799999996</v>
      </c>
      <c r="DS25" s="74">
        <v>4004.8055369999997</v>
      </c>
      <c r="DT25" s="74">
        <v>4032.8142119999993</v>
      </c>
      <c r="DU25" s="74">
        <v>4055.9510519999999</v>
      </c>
      <c r="DV25" s="74">
        <v>3919.2814960000005</v>
      </c>
      <c r="DW25" s="74">
        <v>3563.5962700000005</v>
      </c>
      <c r="DX25" s="74">
        <v>3563.3683120000001</v>
      </c>
      <c r="DY25" s="74">
        <v>453.03803500000004</v>
      </c>
      <c r="DZ25" s="74">
        <v>453.71384</v>
      </c>
      <c r="EA25" s="74">
        <v>454.59640799999994</v>
      </c>
      <c r="EB25" s="74">
        <v>456.85496999999998</v>
      </c>
      <c r="EC25" s="74">
        <v>453.72</v>
      </c>
      <c r="ED25" s="74">
        <v>459.21058800000003</v>
      </c>
      <c r="EE25" s="74">
        <v>0</v>
      </c>
      <c r="EF25" s="74">
        <v>0</v>
      </c>
      <c r="EG25" s="74">
        <v>0</v>
      </c>
      <c r="EH25" s="74">
        <v>1053.1543924</v>
      </c>
    </row>
    <row r="26" spans="1:138" x14ac:dyDescent="0.35">
      <c r="A26" s="49" t="s">
        <v>80</v>
      </c>
      <c r="B26" s="66" t="s">
        <v>38</v>
      </c>
      <c r="C26" s="51" t="s">
        <v>56</v>
      </c>
      <c r="D26" s="67">
        <f>170*115.6521</f>
        <v>19660.857</v>
      </c>
      <c r="E26" s="68">
        <f>161.3*116.1223</f>
        <v>18730.526990000002</v>
      </c>
      <c r="F26" s="68">
        <f>135.3*116.9832</f>
        <v>15827.82696</v>
      </c>
      <c r="G26" s="68">
        <f>122.7*117.4218</f>
        <v>14407.654860000001</v>
      </c>
      <c r="H26" s="68">
        <f>186.8*117.8553</f>
        <v>22015.370040000002</v>
      </c>
      <c r="I26" s="68">
        <f>171.4*119.0553</f>
        <v>20406.078420000002</v>
      </c>
      <c r="J26" s="68">
        <f>150.3*119.8343</f>
        <v>18011.095290000001</v>
      </c>
      <c r="K26" s="68">
        <f>143.9*119.932</f>
        <v>17258.214800000002</v>
      </c>
      <c r="L26" s="68">
        <f>161.9*120.415</f>
        <v>19495.1885</v>
      </c>
      <c r="M26" s="68">
        <f>148.2*121.3417</f>
        <v>17982.839939999998</v>
      </c>
      <c r="N26" s="68">
        <f>158.7*121.8522</f>
        <v>19337.94414</v>
      </c>
      <c r="O26" s="68">
        <f>5.4*122.0421</f>
        <v>659.02734000000009</v>
      </c>
      <c r="P26" s="69">
        <f>10.5*123.1541</f>
        <v>1293.11805</v>
      </c>
      <c r="Q26" s="69">
        <f>12.2*125.4111</f>
        <v>1530.0154199999999</v>
      </c>
      <c r="R26" s="69">
        <f>12.1*126.3835</f>
        <v>1529.24035</v>
      </c>
      <c r="S26" s="69">
        <f>11.1*126.5582</f>
        <v>1404.79602</v>
      </c>
      <c r="T26" s="69">
        <f>11.1*127.5727</f>
        <v>1416.0569699999999</v>
      </c>
      <c r="U26" s="70">
        <f>14.5*128.2704</f>
        <v>1859.9207999999999</v>
      </c>
      <c r="V26" s="70">
        <f>10*129.1064</f>
        <v>1291.0640000000001</v>
      </c>
      <c r="W26" s="70">
        <f>10.3*129.0391</f>
        <v>1329.1027300000001</v>
      </c>
      <c r="X26" s="70">
        <f>10.2*128.4404</f>
        <v>1310.0920800000001</v>
      </c>
      <c r="Y26" s="70">
        <f>10.2*128.2591</f>
        <v>1308.2428199999997</v>
      </c>
      <c r="Z26" s="70">
        <f>7*128.1053</f>
        <v>896.73710000000005</v>
      </c>
      <c r="AA26" s="70">
        <f>4.27*128.6672</f>
        <v>549.40894400000002</v>
      </c>
      <c r="AB26" s="70">
        <f>3.1*129.4011</f>
        <v>401.14341000000007</v>
      </c>
      <c r="AC26" s="70">
        <f>3.4*130.1443</f>
        <v>442.49061999999992</v>
      </c>
      <c r="AD26" s="70">
        <f>3.42*128.6228</f>
        <v>439.88997600000005</v>
      </c>
      <c r="AE26" s="70">
        <f>3.42*128.2195</f>
        <v>438.51069000000001</v>
      </c>
      <c r="AF26" s="70">
        <f>17.2*129.6466</f>
        <v>2229.9215199999999</v>
      </c>
      <c r="AG26" s="70">
        <f>15.7*129.91</f>
        <v>2039.5869999999998</v>
      </c>
      <c r="AH26" s="70">
        <f>15.7*127.2868</f>
        <v>1998.4027599999999</v>
      </c>
      <c r="AI26" s="70">
        <f>15.8*126.0787</f>
        <v>1992.0434600000001</v>
      </c>
      <c r="AJ26" s="70">
        <f>15.8*125.0004</f>
        <v>1975.0063200000002</v>
      </c>
      <c r="AK26" s="70">
        <f>20.2*125.3866</f>
        <v>2532.8093199999998</v>
      </c>
      <c r="AL26" s="70">
        <f>13.2*128.154</f>
        <v>1691.6327999999999</v>
      </c>
      <c r="AM26" s="70">
        <f>12.4*125.985</f>
        <v>1562.2139999999999</v>
      </c>
      <c r="AN26" s="70">
        <v>1566.51</v>
      </c>
      <c r="AO26" s="71">
        <v>1573.2007500000002</v>
      </c>
      <c r="AP26" s="5">
        <v>1603.8191400000001</v>
      </c>
      <c r="AQ26" s="11">
        <v>1665.9525900000001</v>
      </c>
      <c r="AR26" s="11">
        <v>756.53489999999988</v>
      </c>
      <c r="AS26" s="71">
        <v>607.79070000000002</v>
      </c>
      <c r="AT26" s="71">
        <v>668.69</v>
      </c>
      <c r="AU26" s="71">
        <v>690.08</v>
      </c>
      <c r="AV26" s="15">
        <v>727.98</v>
      </c>
      <c r="AW26" s="15">
        <v>449.13</v>
      </c>
      <c r="AX26">
        <v>218.97</v>
      </c>
      <c r="AY26">
        <v>569.1</v>
      </c>
      <c r="AZ26" s="6">
        <v>634.32000000000005</v>
      </c>
      <c r="BA26" s="6">
        <v>624.26</v>
      </c>
      <c r="BB26" s="6">
        <v>655.34</v>
      </c>
      <c r="BC26" s="6">
        <v>983.74</v>
      </c>
      <c r="BD26" s="6">
        <v>988.67</v>
      </c>
      <c r="BE26" s="71">
        <v>527.12</v>
      </c>
      <c r="BF26" s="71">
        <v>448.39</v>
      </c>
      <c r="BG26" s="71">
        <v>1738.45</v>
      </c>
      <c r="BH26" s="73">
        <v>1551.06</v>
      </c>
      <c r="BI26" s="73">
        <v>1779.38</v>
      </c>
      <c r="BJ26" s="73">
        <v>1630.27</v>
      </c>
      <c r="BK26" s="73">
        <v>1624.69</v>
      </c>
      <c r="BL26" s="73">
        <v>1701.13</v>
      </c>
      <c r="BM26" s="73">
        <v>1004.41</v>
      </c>
      <c r="BN26" s="73">
        <v>966.08</v>
      </c>
      <c r="BO26" s="73">
        <v>937.49</v>
      </c>
      <c r="BP26" s="73">
        <v>940.52</v>
      </c>
      <c r="BQ26" s="73">
        <v>895.26</v>
      </c>
      <c r="BR26" s="73">
        <v>856.67</v>
      </c>
      <c r="BS26" s="73">
        <v>132.1</v>
      </c>
      <c r="BT26" s="73">
        <v>684.72</v>
      </c>
      <c r="BU26" s="73">
        <v>673.26</v>
      </c>
      <c r="BV26" s="73">
        <v>698.93</v>
      </c>
      <c r="BW26" s="73">
        <v>850.17153999999994</v>
      </c>
      <c r="BX26" s="73">
        <v>879.55</v>
      </c>
      <c r="BY26" s="73">
        <v>911.05</v>
      </c>
      <c r="BZ26" s="73">
        <v>623.77</v>
      </c>
      <c r="CA26" s="73">
        <v>742.02</v>
      </c>
      <c r="CB26" s="73">
        <v>711.78599999999994</v>
      </c>
      <c r="CC26" s="73">
        <v>647.87404000000004</v>
      </c>
      <c r="CD26" s="73">
        <v>747.16176000000007</v>
      </c>
      <c r="CE26" s="73">
        <v>767.69</v>
      </c>
      <c r="CF26" s="73">
        <v>449.75461999999993</v>
      </c>
      <c r="CG26" s="73">
        <v>643.94148999999993</v>
      </c>
      <c r="CH26" s="73">
        <v>1022.31</v>
      </c>
      <c r="CI26" s="73">
        <v>907.3</v>
      </c>
      <c r="CJ26" s="74">
        <v>812.99</v>
      </c>
      <c r="CK26" s="74">
        <v>817.04</v>
      </c>
      <c r="CL26" s="74">
        <v>753.24325999999996</v>
      </c>
      <c r="CM26" s="74">
        <v>626.85691200000008</v>
      </c>
      <c r="CN26" s="74">
        <v>436.61</v>
      </c>
      <c r="CO26" s="74">
        <v>349.96</v>
      </c>
      <c r="CP26" s="74">
        <v>316.59300000000002</v>
      </c>
      <c r="CQ26" s="74">
        <v>307.87847199999999</v>
      </c>
      <c r="CR26" s="74">
        <v>302.58</v>
      </c>
      <c r="CS26" s="74">
        <v>241.94249500000001</v>
      </c>
      <c r="CT26" s="74">
        <v>645.58000000000004</v>
      </c>
      <c r="CU26" s="74">
        <v>49.8</v>
      </c>
      <c r="CV26" s="74">
        <v>49.060032</v>
      </c>
      <c r="CW26" s="74">
        <v>0</v>
      </c>
      <c r="CX26" s="74">
        <v>3.09</v>
      </c>
      <c r="CY26" s="74">
        <v>103.2360277168</v>
      </c>
      <c r="CZ26" s="74">
        <v>102.8308885093</v>
      </c>
      <c r="DA26" s="74">
        <v>3355.32314</v>
      </c>
      <c r="DB26" s="74">
        <v>3480.55278</v>
      </c>
      <c r="DC26" s="74">
        <v>3556.6237937999999</v>
      </c>
      <c r="DD26" s="74">
        <v>387.37599999999998</v>
      </c>
      <c r="DE26" s="74">
        <v>361.32511800000003</v>
      </c>
      <c r="DF26" s="74">
        <v>362.15879699999999</v>
      </c>
      <c r="DG26" s="74">
        <v>297.01900799999999</v>
      </c>
      <c r="DH26" s="74">
        <v>214.98971599999999</v>
      </c>
      <c r="DI26" s="74">
        <v>39363.324185999998</v>
      </c>
      <c r="DJ26" s="74">
        <v>39680.504644000001</v>
      </c>
      <c r="DK26" s="74">
        <v>39898.818480000002</v>
      </c>
      <c r="DL26" s="74">
        <v>30853.972440000001</v>
      </c>
      <c r="DM26" s="74">
        <v>31146.776016</v>
      </c>
      <c r="DN26" s="74">
        <v>30594.069025000001</v>
      </c>
      <c r="DO26" s="74">
        <v>19896.168292000002</v>
      </c>
      <c r="DP26" s="74">
        <v>19831.971960999999</v>
      </c>
      <c r="DQ26" s="74">
        <v>19956.714120000001</v>
      </c>
      <c r="DR26" s="74">
        <v>10310.077361</v>
      </c>
      <c r="DS26" s="74">
        <v>10524.293237999998</v>
      </c>
      <c r="DT26" s="74">
        <v>10821.145607999999</v>
      </c>
      <c r="DU26" s="74">
        <v>421.12717200000003</v>
      </c>
      <c r="DV26" s="74">
        <v>298.27592400000003</v>
      </c>
      <c r="DW26" s="74">
        <v>299.92258200000003</v>
      </c>
      <c r="DX26" s="74">
        <v>230.36241799999999</v>
      </c>
      <c r="DY26" s="74">
        <v>328.89594</v>
      </c>
      <c r="DZ26" s="74">
        <v>334.23047999999994</v>
      </c>
      <c r="EA26" s="74">
        <v>322.40879999999999</v>
      </c>
      <c r="EB26" s="74">
        <v>204.46655999999999</v>
      </c>
      <c r="EC26" s="74">
        <v>196.93</v>
      </c>
      <c r="ED26" s="74">
        <v>183.998763</v>
      </c>
      <c r="EE26" s="74">
        <v>121.31699999999999</v>
      </c>
      <c r="EF26" s="74">
        <v>181.88250500000001</v>
      </c>
      <c r="EG26" s="74">
        <v>175.86917700000001</v>
      </c>
      <c r="EH26" s="74">
        <v>448.60509421</v>
      </c>
    </row>
    <row r="27" spans="1:138" x14ac:dyDescent="0.35">
      <c r="A27" s="49" t="s">
        <v>81</v>
      </c>
      <c r="B27" s="66" t="s">
        <v>39</v>
      </c>
      <c r="C27" s="51" t="s">
        <v>57</v>
      </c>
      <c r="D27" s="67">
        <f>55.1*115.6521</f>
        <v>6372.4307100000005</v>
      </c>
      <c r="E27" s="68">
        <f>54.6*116.1223</f>
        <v>6340.2775799999999</v>
      </c>
      <c r="F27" s="68">
        <f>49.8*116.9832</f>
        <v>5825.7633599999999</v>
      </c>
      <c r="G27" s="68">
        <f>49.8*117.4218</f>
        <v>5847.6056399999998</v>
      </c>
      <c r="H27" s="68">
        <f>76.4*117.8553</f>
        <v>9004.1449200000006</v>
      </c>
      <c r="I27" s="68">
        <f>74.6*119.0553</f>
        <v>8881.5253799999991</v>
      </c>
      <c r="J27" s="68">
        <f>56.1*119.8343</f>
        <v>6722.7042300000003</v>
      </c>
      <c r="K27" s="68">
        <f>45.9*119.932</f>
        <v>5504.8787999999995</v>
      </c>
      <c r="L27" s="68">
        <f>67.2*120.415</f>
        <v>8091.8880000000008</v>
      </c>
      <c r="M27" s="68">
        <f>67.2*121.3417</f>
        <v>8154.1622400000006</v>
      </c>
      <c r="N27" s="68">
        <f>66.5*121.8522</f>
        <v>8103.1713</v>
      </c>
      <c r="O27" s="68">
        <f>2.2*122.0421</f>
        <v>268.49262000000004</v>
      </c>
      <c r="P27" s="69">
        <f>0</f>
        <v>0</v>
      </c>
      <c r="Q27" s="69">
        <f>0</f>
        <v>0</v>
      </c>
      <c r="R27" s="69">
        <f>1.5*126.3835</f>
        <v>189.57524999999998</v>
      </c>
      <c r="S27" s="69">
        <f>1.5*126.5582</f>
        <v>189.8373</v>
      </c>
      <c r="T27" s="69">
        <f>1.6*127.5727</f>
        <v>204.11632</v>
      </c>
      <c r="U27" s="70">
        <f>1.6*128.2704</f>
        <v>205.23264</v>
      </c>
      <c r="V27" s="70">
        <f>11.9*129.1064</f>
        <v>1536.36616</v>
      </c>
      <c r="W27" s="70">
        <f>11.8*129.0391</f>
        <v>1522.66138</v>
      </c>
      <c r="X27" s="70">
        <f>15.4*128.4404</f>
        <v>1977.9821600000002</v>
      </c>
      <c r="Y27" s="70">
        <f>15.7*128.2591</f>
        <v>2013.6678699999998</v>
      </c>
      <c r="Z27" s="70">
        <f>15.51*128.1053</f>
        <v>1986.9132030000001</v>
      </c>
      <c r="AA27" s="70">
        <f>16.04*128.6672</f>
        <v>2063.8218879999999</v>
      </c>
      <c r="AB27" s="70">
        <f>11.1*129.4011</f>
        <v>1436.35221</v>
      </c>
      <c r="AC27" s="70">
        <f>11.4*130.1443</f>
        <v>1483.6450199999999</v>
      </c>
      <c r="AD27" s="70">
        <f>12.4*128.6228</f>
        <v>1594.9227200000003</v>
      </c>
      <c r="AE27" s="70">
        <f>12.61*128.2195</f>
        <v>1616.8478950000001</v>
      </c>
      <c r="AF27" s="70">
        <f>12.6*129.6466</f>
        <v>1633.5471600000001</v>
      </c>
      <c r="AG27" s="70">
        <f>11.6*129.91</f>
        <v>1506.9559999999999</v>
      </c>
      <c r="AH27" s="70">
        <f>5*127.2868</f>
        <v>636.43399999999997</v>
      </c>
      <c r="AI27" s="70">
        <f>5*126.0787</f>
        <v>630.39350000000002</v>
      </c>
      <c r="AJ27" s="70">
        <f>7.6*125.0004</f>
        <v>950.00303999999994</v>
      </c>
      <c r="AK27" s="70">
        <f>7.9*125.3866</f>
        <v>990.55414000000007</v>
      </c>
      <c r="AL27" s="70">
        <f>7.8*128.1543</f>
        <v>999.60354000000007</v>
      </c>
      <c r="AM27" s="70">
        <f>6.8*125.985</f>
        <v>856.69799999999998</v>
      </c>
      <c r="AN27" s="70">
        <v>1641.71</v>
      </c>
      <c r="AO27" s="71">
        <v>1649.9422500000001</v>
      </c>
      <c r="AP27" s="5">
        <v>1649.9422500000001</v>
      </c>
      <c r="AQ27" s="11">
        <v>1164.8123800000001</v>
      </c>
      <c r="AR27" s="11">
        <v>1182.9454799999999</v>
      </c>
      <c r="AS27" s="71">
        <v>1161.55556</v>
      </c>
      <c r="AT27" s="71">
        <v>694.41</v>
      </c>
      <c r="AU27" s="71">
        <v>690.08</v>
      </c>
      <c r="AV27" s="15">
        <v>319.29000000000002</v>
      </c>
      <c r="AW27" s="15">
        <v>421.91</v>
      </c>
      <c r="AX27" s="77">
        <v>399.3</v>
      </c>
      <c r="AY27" s="77">
        <v>392.05</v>
      </c>
      <c r="AZ27" s="6">
        <v>0</v>
      </c>
      <c r="BA27" s="6">
        <v>2908.78</v>
      </c>
      <c r="BB27" s="6">
        <v>2896.61</v>
      </c>
      <c r="BC27" s="6">
        <v>3743.69</v>
      </c>
      <c r="BD27" s="6">
        <v>2974.26</v>
      </c>
      <c r="BE27" s="71">
        <v>2838.34</v>
      </c>
      <c r="BF27" s="71">
        <v>2998.6</v>
      </c>
      <c r="BG27" s="71">
        <v>1453.23</v>
      </c>
      <c r="BH27" s="73">
        <v>1391.97</v>
      </c>
      <c r="BI27" s="73">
        <v>1522.36</v>
      </c>
      <c r="BJ27" s="73">
        <v>1465.87</v>
      </c>
      <c r="BK27" s="73">
        <v>1421.6</v>
      </c>
      <c r="BL27" s="73">
        <v>1500.99</v>
      </c>
      <c r="BM27" s="73">
        <v>0</v>
      </c>
      <c r="BN27" s="73">
        <v>0</v>
      </c>
      <c r="BO27" s="73">
        <v>0</v>
      </c>
      <c r="BP27" s="73">
        <v>0</v>
      </c>
      <c r="BQ27" s="73">
        <v>0</v>
      </c>
      <c r="BR27" s="73">
        <v>0</v>
      </c>
      <c r="BS27" s="73">
        <v>0</v>
      </c>
      <c r="BT27" s="73">
        <v>0</v>
      </c>
      <c r="BU27" s="73">
        <v>0</v>
      </c>
      <c r="BV27" s="73">
        <v>0</v>
      </c>
      <c r="BW27" s="73">
        <v>0</v>
      </c>
      <c r="BX27" s="73">
        <v>0</v>
      </c>
      <c r="BY27" s="73">
        <v>0</v>
      </c>
      <c r="BZ27" s="73">
        <v>0</v>
      </c>
      <c r="CA27" s="73">
        <v>0</v>
      </c>
      <c r="CB27" s="73">
        <v>0</v>
      </c>
      <c r="CC27" s="73">
        <v>0</v>
      </c>
      <c r="CD27" s="73">
        <v>0</v>
      </c>
      <c r="CE27" s="73">
        <v>0</v>
      </c>
      <c r="CF27" s="73">
        <v>0</v>
      </c>
      <c r="CG27" s="73">
        <v>0</v>
      </c>
      <c r="CH27" s="73">
        <v>0</v>
      </c>
      <c r="CI27" s="73">
        <v>0</v>
      </c>
      <c r="CJ27" s="74">
        <v>0</v>
      </c>
      <c r="CK27" s="74">
        <v>0</v>
      </c>
      <c r="CL27" s="74">
        <v>0</v>
      </c>
      <c r="CM27" s="74">
        <v>0</v>
      </c>
      <c r="CN27" s="74">
        <v>0</v>
      </c>
      <c r="CO27" s="74">
        <v>0</v>
      </c>
      <c r="CP27" s="74">
        <v>0</v>
      </c>
      <c r="CQ27" s="74">
        <v>0</v>
      </c>
      <c r="CR27" s="74">
        <v>0</v>
      </c>
      <c r="CS27" s="74">
        <v>0</v>
      </c>
      <c r="CT27" s="74">
        <v>0</v>
      </c>
      <c r="CU27" s="74">
        <v>0</v>
      </c>
      <c r="CV27" s="74">
        <v>0</v>
      </c>
      <c r="CW27" s="74">
        <v>0</v>
      </c>
      <c r="CX27" s="74">
        <v>0</v>
      </c>
      <c r="CY27" s="74">
        <v>0</v>
      </c>
      <c r="CZ27" s="74">
        <v>0</v>
      </c>
      <c r="DA27" s="74">
        <v>0</v>
      </c>
      <c r="DB27" s="74">
        <v>0</v>
      </c>
      <c r="DC27" s="74">
        <v>0</v>
      </c>
      <c r="DD27" s="74">
        <v>0</v>
      </c>
      <c r="DE27" s="74">
        <v>0</v>
      </c>
      <c r="DF27" s="74">
        <v>0</v>
      </c>
      <c r="DG27" s="74">
        <v>0</v>
      </c>
      <c r="DH27" s="74">
        <v>0</v>
      </c>
      <c r="DI27" s="74">
        <v>0</v>
      </c>
      <c r="DJ27" s="74">
        <v>0</v>
      </c>
      <c r="DK27" s="74">
        <v>0</v>
      </c>
      <c r="DL27" s="74">
        <v>0</v>
      </c>
      <c r="DM27" s="74">
        <v>0</v>
      </c>
      <c r="DN27" s="74">
        <v>0</v>
      </c>
      <c r="DO27" s="74">
        <v>0</v>
      </c>
      <c r="DP27" s="74">
        <v>0</v>
      </c>
      <c r="DQ27" s="74">
        <v>0</v>
      </c>
      <c r="DR27" s="74">
        <v>0</v>
      </c>
      <c r="DS27" s="74">
        <v>0</v>
      </c>
      <c r="DT27" s="74">
        <v>0</v>
      </c>
      <c r="DU27" s="74">
        <v>0</v>
      </c>
      <c r="DV27" s="74">
        <v>0</v>
      </c>
      <c r="DW27" s="74">
        <v>0</v>
      </c>
      <c r="DX27" s="74">
        <v>0</v>
      </c>
      <c r="DY27" s="74">
        <v>0</v>
      </c>
      <c r="DZ27" s="74">
        <v>0</v>
      </c>
      <c r="EA27" s="74">
        <v>0</v>
      </c>
      <c r="EB27" s="74">
        <v>0</v>
      </c>
      <c r="EC27" s="74">
        <v>0</v>
      </c>
      <c r="ED27" s="74">
        <v>0</v>
      </c>
      <c r="EE27" s="74">
        <v>0</v>
      </c>
      <c r="EF27" s="74">
        <v>0</v>
      </c>
      <c r="EG27" s="74">
        <v>0</v>
      </c>
      <c r="EH27" s="74">
        <v>0</v>
      </c>
    </row>
    <row r="28" spans="1:138" x14ac:dyDescent="0.35">
      <c r="A28" s="49" t="s">
        <v>82</v>
      </c>
      <c r="B28" s="66" t="s">
        <v>40</v>
      </c>
      <c r="C28" s="51" t="s">
        <v>58</v>
      </c>
      <c r="D28" s="67">
        <f>1.4*115.6521</f>
        <v>161.91293999999999</v>
      </c>
      <c r="E28" s="68">
        <f>1.4*116.1223</f>
        <v>162.57121999999998</v>
      </c>
      <c r="F28" s="68">
        <f>0.6*116.9832</f>
        <v>70.189920000000001</v>
      </c>
      <c r="G28" s="68">
        <f>0.6*117.4218</f>
        <v>70.45308</v>
      </c>
      <c r="H28" s="68">
        <f>1.9*117.8553</f>
        <v>223.92506999999998</v>
      </c>
      <c r="I28" s="68">
        <f>1.6*119.0553</f>
        <v>190.48848000000001</v>
      </c>
      <c r="J28" s="68">
        <f>1.6*119.8343</f>
        <v>191.73488</v>
      </c>
      <c r="K28" s="68">
        <f>1.6*119.932</f>
        <v>191.89120000000003</v>
      </c>
      <c r="L28" s="68">
        <f>1.6*120.415</f>
        <v>192.66400000000002</v>
      </c>
      <c r="M28" s="68">
        <f>1.6*121.3417</f>
        <v>194.14672000000002</v>
      </c>
      <c r="N28" s="68">
        <f>1*121.8522</f>
        <v>121.8522</v>
      </c>
      <c r="O28" s="68">
        <v>0</v>
      </c>
      <c r="P28" s="69">
        <v>0</v>
      </c>
      <c r="Q28" s="69">
        <v>0</v>
      </c>
      <c r="R28" s="69">
        <v>0</v>
      </c>
      <c r="S28" s="69">
        <v>0</v>
      </c>
      <c r="T28" s="69">
        <v>0</v>
      </c>
      <c r="U28" s="70">
        <v>0</v>
      </c>
      <c r="V28" s="70">
        <v>0</v>
      </c>
      <c r="W28" s="70">
        <v>0</v>
      </c>
      <c r="X28" s="70">
        <v>0</v>
      </c>
      <c r="Y28" s="70">
        <v>0</v>
      </c>
      <c r="Z28" s="70">
        <v>0</v>
      </c>
      <c r="AA28" s="70">
        <v>0</v>
      </c>
      <c r="AB28" s="70">
        <v>0</v>
      </c>
      <c r="AC28" s="70">
        <v>0</v>
      </c>
      <c r="AD28" s="70">
        <v>0</v>
      </c>
      <c r="AE28" s="7">
        <v>0</v>
      </c>
      <c r="AF28" s="7">
        <v>0</v>
      </c>
      <c r="AG28" s="7">
        <v>0</v>
      </c>
      <c r="AH28" s="7">
        <v>0</v>
      </c>
      <c r="AI28" s="82">
        <f>0*126.0787</f>
        <v>0</v>
      </c>
      <c r="AJ28" s="82">
        <f>0*125.0004</f>
        <v>0</v>
      </c>
      <c r="AK28" s="82">
        <f>0*1253866</f>
        <v>0</v>
      </c>
      <c r="AL28" s="70">
        <f>0*128.154</f>
        <v>0</v>
      </c>
      <c r="AM28" s="70">
        <f>0*125.985</f>
        <v>0</v>
      </c>
      <c r="AN28" s="70">
        <v>0</v>
      </c>
      <c r="AO28" s="70">
        <v>0</v>
      </c>
      <c r="AP28" s="70">
        <v>0</v>
      </c>
      <c r="AQ28" s="75">
        <v>0</v>
      </c>
      <c r="AR28" s="75">
        <v>0</v>
      </c>
      <c r="AS28" s="76">
        <v>0</v>
      </c>
      <c r="AT28" s="71">
        <v>0</v>
      </c>
      <c r="AU28" s="71">
        <v>0</v>
      </c>
      <c r="AV28" s="15">
        <v>0</v>
      </c>
      <c r="AW28" s="15">
        <v>0</v>
      </c>
      <c r="AX28" s="72">
        <v>0</v>
      </c>
      <c r="AY28" s="72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5">
        <v>0</v>
      </c>
      <c r="BF28" s="5">
        <v>0</v>
      </c>
      <c r="BG28" s="5">
        <v>0</v>
      </c>
      <c r="BH28" s="20">
        <v>0</v>
      </c>
      <c r="BI28" s="20">
        <v>0</v>
      </c>
      <c r="BJ28" s="20">
        <v>0</v>
      </c>
      <c r="BK28" s="20">
        <v>0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0</v>
      </c>
      <c r="BR28" s="20">
        <v>0</v>
      </c>
      <c r="BS28" s="20">
        <v>0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0</v>
      </c>
      <c r="BZ28" s="20">
        <v>0</v>
      </c>
      <c r="CA28" s="20">
        <v>0</v>
      </c>
      <c r="CB28" s="20">
        <v>0</v>
      </c>
      <c r="CC28" s="20">
        <v>0</v>
      </c>
      <c r="CD28" s="20">
        <v>0</v>
      </c>
      <c r="CE28" s="20">
        <v>0</v>
      </c>
      <c r="CF28" s="20">
        <v>0</v>
      </c>
      <c r="CG28" s="20">
        <v>0</v>
      </c>
      <c r="CH28" s="20">
        <v>0</v>
      </c>
      <c r="CI28" s="20">
        <v>0</v>
      </c>
      <c r="CJ28" s="74">
        <v>0</v>
      </c>
      <c r="CK28" s="74">
        <v>0</v>
      </c>
      <c r="CL28" s="74">
        <v>0</v>
      </c>
      <c r="CM28" s="74">
        <v>0</v>
      </c>
      <c r="CN28" s="74">
        <v>0</v>
      </c>
      <c r="CO28" s="74">
        <v>0</v>
      </c>
      <c r="CP28" s="74">
        <v>0</v>
      </c>
      <c r="CQ28" s="74">
        <v>0</v>
      </c>
      <c r="CR28" s="74">
        <v>0</v>
      </c>
      <c r="CS28" s="74">
        <v>0</v>
      </c>
      <c r="CT28" s="74">
        <v>0</v>
      </c>
      <c r="CU28" s="74">
        <v>0</v>
      </c>
      <c r="CV28" s="74">
        <v>0</v>
      </c>
      <c r="CW28" s="74">
        <v>0</v>
      </c>
      <c r="CX28" s="74">
        <v>0</v>
      </c>
      <c r="CY28" s="74">
        <v>0</v>
      </c>
      <c r="CZ28" s="74">
        <v>0</v>
      </c>
      <c r="DA28" s="74">
        <v>0</v>
      </c>
      <c r="DB28" s="74">
        <v>0</v>
      </c>
      <c r="DC28" s="74">
        <v>0</v>
      </c>
      <c r="DD28" s="74">
        <v>0</v>
      </c>
      <c r="DE28" s="74">
        <v>0</v>
      </c>
      <c r="DF28" s="74">
        <v>0</v>
      </c>
      <c r="DG28" s="74">
        <v>0</v>
      </c>
      <c r="DH28" s="74">
        <v>0</v>
      </c>
      <c r="DI28" s="74">
        <v>0</v>
      </c>
      <c r="DJ28" s="74">
        <v>0</v>
      </c>
      <c r="DK28" s="74">
        <v>0</v>
      </c>
      <c r="DL28" s="74">
        <v>0</v>
      </c>
      <c r="DM28" s="74">
        <v>0</v>
      </c>
      <c r="DN28" s="74">
        <v>0</v>
      </c>
      <c r="DO28" s="74">
        <v>0</v>
      </c>
      <c r="DP28" s="74">
        <v>0</v>
      </c>
      <c r="DQ28" s="74">
        <v>0</v>
      </c>
      <c r="DR28" s="74">
        <v>0</v>
      </c>
      <c r="DS28" s="74">
        <v>0</v>
      </c>
      <c r="DT28" s="74">
        <v>0</v>
      </c>
      <c r="DU28" s="74">
        <v>0</v>
      </c>
      <c r="DV28" s="74">
        <v>0</v>
      </c>
      <c r="DW28" s="74">
        <v>0</v>
      </c>
      <c r="DX28" s="74">
        <v>0</v>
      </c>
      <c r="DY28" s="74">
        <v>0</v>
      </c>
      <c r="DZ28" s="74">
        <v>0</v>
      </c>
      <c r="EA28" s="74">
        <v>0</v>
      </c>
      <c r="EB28" s="74">
        <v>0</v>
      </c>
      <c r="EC28" s="74">
        <v>0</v>
      </c>
      <c r="ED28" s="74">
        <v>0</v>
      </c>
      <c r="EE28" s="74">
        <v>0</v>
      </c>
      <c r="EF28" s="74">
        <v>0</v>
      </c>
      <c r="EG28" s="74">
        <v>0</v>
      </c>
      <c r="EH28" s="74">
        <v>0</v>
      </c>
    </row>
    <row r="29" spans="1:138" x14ac:dyDescent="0.35">
      <c r="A29" s="49" t="s">
        <v>83</v>
      </c>
      <c r="B29" s="66" t="s">
        <v>41</v>
      </c>
      <c r="C29" s="51" t="s">
        <v>59</v>
      </c>
      <c r="D29" s="67">
        <f>410*115.6521</f>
        <v>47417.361000000004</v>
      </c>
      <c r="E29" s="68">
        <f>402.1*116.1223</f>
        <v>46692.776830000003</v>
      </c>
      <c r="F29" s="68">
        <f>140*116.9832</f>
        <v>16377.647999999999</v>
      </c>
      <c r="G29" s="68">
        <f>10.1*117.4218</f>
        <v>1185.96018</v>
      </c>
      <c r="H29" s="68">
        <f>10.1*117.8553</f>
        <v>1190.33853</v>
      </c>
      <c r="I29" s="68">
        <f>10.1*119.0553</f>
        <v>1202.4585299999999</v>
      </c>
      <c r="J29" s="68">
        <f>10.1*119.8343</f>
        <v>1210.3264299999998</v>
      </c>
      <c r="K29" s="68">
        <f>2.2*119.932</f>
        <v>263.85040000000004</v>
      </c>
      <c r="L29" s="68">
        <f>15.8*120.415</f>
        <v>1902.5570000000002</v>
      </c>
      <c r="M29" s="68">
        <f>15.8*121.3417</f>
        <v>1917.1988600000002</v>
      </c>
      <c r="N29" s="68">
        <f>15.8*121.8522</f>
        <v>1925.26476</v>
      </c>
      <c r="O29" s="68">
        <v>0</v>
      </c>
      <c r="P29" s="69">
        <v>0</v>
      </c>
      <c r="Q29" s="69">
        <v>0</v>
      </c>
      <c r="R29" s="69">
        <v>0</v>
      </c>
      <c r="S29" s="69">
        <v>0</v>
      </c>
      <c r="T29" s="69">
        <v>0</v>
      </c>
      <c r="U29" s="70">
        <v>0</v>
      </c>
      <c r="V29" s="70">
        <v>0</v>
      </c>
      <c r="W29" s="70">
        <v>0</v>
      </c>
      <c r="X29" s="70">
        <f>79*128.4404</f>
        <v>10146.7916</v>
      </c>
      <c r="Y29" s="70">
        <f>78.3*128.2591</f>
        <v>10042.687529999999</v>
      </c>
      <c r="Z29" s="70">
        <f>78.3*128.1053</f>
        <v>10030.644989999999</v>
      </c>
      <c r="AA29" s="80">
        <f>79.05*128.6672</f>
        <v>10171.142159999999</v>
      </c>
      <c r="AB29" s="70">
        <f>79*129.4011</f>
        <v>10222.686900000001</v>
      </c>
      <c r="AC29" s="70">
        <f>79*130.1443</f>
        <v>10281.399699999998</v>
      </c>
      <c r="AD29" s="70">
        <v>0</v>
      </c>
      <c r="AE29" s="7">
        <v>0</v>
      </c>
      <c r="AF29" s="7">
        <v>0</v>
      </c>
      <c r="AG29" s="7">
        <v>0</v>
      </c>
      <c r="AH29" s="7">
        <v>0</v>
      </c>
      <c r="AI29" s="82">
        <f>0*126.0787</f>
        <v>0</v>
      </c>
      <c r="AJ29" s="82">
        <f>0*125.0004</f>
        <v>0</v>
      </c>
      <c r="AK29" s="82">
        <f>0*125.004</f>
        <v>0</v>
      </c>
      <c r="AL29" s="70">
        <f>0*128.154</f>
        <v>0</v>
      </c>
      <c r="AM29" s="70">
        <f>99.3*125.985</f>
        <v>12510.3105</v>
      </c>
      <c r="AN29" s="70">
        <v>0</v>
      </c>
      <c r="AO29" s="70">
        <v>0</v>
      </c>
      <c r="AP29" s="5">
        <v>11500.556759999999</v>
      </c>
      <c r="AQ29" s="75">
        <v>11946.09906</v>
      </c>
      <c r="AR29" s="75">
        <v>12132.068759999998</v>
      </c>
      <c r="AS29" s="71">
        <v>11912.697720000002</v>
      </c>
      <c r="AT29" s="71">
        <v>11342.07</v>
      </c>
      <c r="AU29" s="71">
        <v>11271.28</v>
      </c>
      <c r="AV29" s="15">
        <v>11264.57</v>
      </c>
      <c r="AW29" s="15">
        <v>12004.02</v>
      </c>
      <c r="AX29" s="72">
        <v>11360.72</v>
      </c>
      <c r="AY29" s="72">
        <v>11154.35</v>
      </c>
      <c r="AZ29" s="6">
        <v>11903.54</v>
      </c>
      <c r="BA29" s="6">
        <v>11714.79</v>
      </c>
      <c r="BB29" s="6">
        <v>0</v>
      </c>
      <c r="BC29" s="6">
        <v>0</v>
      </c>
      <c r="BD29" s="6">
        <v>0</v>
      </c>
      <c r="BE29" s="71">
        <v>0</v>
      </c>
      <c r="BF29" s="71">
        <v>0</v>
      </c>
      <c r="BG29" s="71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3">
        <v>0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176.14</v>
      </c>
      <c r="BT29" s="73">
        <v>171.18</v>
      </c>
      <c r="BU29" s="73">
        <v>179.54</v>
      </c>
      <c r="BV29" s="73">
        <v>182.33</v>
      </c>
      <c r="BW29" s="73">
        <v>168.57</v>
      </c>
      <c r="BX29" s="73">
        <v>169.74</v>
      </c>
      <c r="BY29" s="73">
        <v>70.2</v>
      </c>
      <c r="BZ29" s="73">
        <v>70.099999999999994</v>
      </c>
      <c r="CA29" s="73">
        <v>77.290000000000006</v>
      </c>
      <c r="CB29" s="73">
        <v>71.483000000000004</v>
      </c>
      <c r="CC29" s="73">
        <v>73.622050000000002</v>
      </c>
      <c r="CD29" s="73">
        <v>77.829350000000005</v>
      </c>
      <c r="CE29" s="73">
        <v>0</v>
      </c>
      <c r="CF29" s="73">
        <v>0</v>
      </c>
      <c r="CG29" s="73">
        <v>0</v>
      </c>
      <c r="CH29" s="73">
        <v>0</v>
      </c>
      <c r="CI29" s="73">
        <v>0</v>
      </c>
      <c r="CJ29" s="74">
        <v>0</v>
      </c>
      <c r="CK29" s="74">
        <v>0</v>
      </c>
      <c r="CL29" s="74">
        <v>0</v>
      </c>
      <c r="CM29" s="74">
        <v>0</v>
      </c>
      <c r="CN29" s="74">
        <v>0</v>
      </c>
      <c r="CO29" s="74">
        <v>0</v>
      </c>
      <c r="CP29" s="74">
        <v>0</v>
      </c>
      <c r="CQ29" s="74">
        <v>0</v>
      </c>
      <c r="CR29" s="74">
        <v>0</v>
      </c>
      <c r="CS29" s="74">
        <v>0</v>
      </c>
      <c r="CT29" s="74">
        <v>0</v>
      </c>
      <c r="CU29" s="74">
        <v>0</v>
      </c>
      <c r="CV29" s="74">
        <v>0</v>
      </c>
      <c r="CW29" s="74">
        <v>0</v>
      </c>
      <c r="CX29" s="74">
        <v>0</v>
      </c>
      <c r="CY29" s="74">
        <v>0</v>
      </c>
      <c r="CZ29" s="74">
        <v>0</v>
      </c>
      <c r="DA29" s="74">
        <v>0</v>
      </c>
      <c r="DB29" s="74">
        <v>0</v>
      </c>
      <c r="DC29" s="74">
        <v>0</v>
      </c>
      <c r="DD29" s="74">
        <v>0</v>
      </c>
      <c r="DE29" s="74">
        <v>0</v>
      </c>
      <c r="DF29" s="74">
        <v>0</v>
      </c>
      <c r="DG29" s="74">
        <v>0</v>
      </c>
      <c r="DH29" s="74">
        <v>0</v>
      </c>
      <c r="DI29" s="74">
        <v>0</v>
      </c>
      <c r="DJ29" s="74">
        <v>13955.696627000001</v>
      </c>
      <c r="DK29" s="74">
        <v>14065.719765000002</v>
      </c>
      <c r="DL29" s="74">
        <v>14110.587990000002</v>
      </c>
      <c r="DM29" s="74">
        <v>14170.465864000002</v>
      </c>
      <c r="DN29" s="74">
        <v>14209.333801000001</v>
      </c>
      <c r="DO29" s="74">
        <v>0</v>
      </c>
      <c r="DP29" s="74">
        <v>0</v>
      </c>
      <c r="DQ29" s="74">
        <v>0</v>
      </c>
      <c r="DR29" s="74">
        <v>0</v>
      </c>
      <c r="DS29" s="74">
        <v>24549.822158999999</v>
      </c>
      <c r="DT29" s="74">
        <v>24721.517883999997</v>
      </c>
      <c r="DU29" s="74">
        <v>24824.085732000003</v>
      </c>
      <c r="DV29" s="74">
        <v>24861.137902000002</v>
      </c>
      <c r="DW29" s="74">
        <v>11280.959052</v>
      </c>
      <c r="DX29" s="74">
        <v>11270.038295999999</v>
      </c>
      <c r="DY29" s="74">
        <v>11279.196059999998</v>
      </c>
      <c r="DZ29" s="74">
        <v>0</v>
      </c>
      <c r="EA29" s="74">
        <v>0</v>
      </c>
      <c r="EB29" s="74">
        <v>0</v>
      </c>
      <c r="EC29" s="74">
        <v>0</v>
      </c>
      <c r="ED29" s="74">
        <v>0</v>
      </c>
      <c r="EE29" s="74">
        <v>0</v>
      </c>
      <c r="EF29" s="74">
        <v>0</v>
      </c>
      <c r="EG29" s="74">
        <v>0</v>
      </c>
      <c r="EH29" s="74">
        <v>0</v>
      </c>
    </row>
    <row r="30" spans="1:138" x14ac:dyDescent="0.35">
      <c r="A30" s="49" t="s">
        <v>84</v>
      </c>
      <c r="B30" s="78" t="s">
        <v>32</v>
      </c>
      <c r="C30" s="51" t="s">
        <v>60</v>
      </c>
      <c r="D30" s="61">
        <f t="shared" ref="D30:O30" si="60">SUM(D31:D35)</f>
        <v>911095.67858999991</v>
      </c>
      <c r="E30" s="62">
        <f t="shared" si="60"/>
        <v>913429.62402999995</v>
      </c>
      <c r="F30" s="62">
        <f t="shared" si="60"/>
        <v>927606.58608000004</v>
      </c>
      <c r="G30" s="62">
        <f t="shared" si="60"/>
        <v>1168264.71474</v>
      </c>
      <c r="H30" s="62">
        <f t="shared" si="60"/>
        <v>1174545.9198000003</v>
      </c>
      <c r="I30" s="62">
        <f t="shared" si="60"/>
        <v>1188576.6820200002</v>
      </c>
      <c r="J30" s="62">
        <f t="shared" si="60"/>
        <v>1196677.30323</v>
      </c>
      <c r="K30" s="62">
        <f t="shared" si="60"/>
        <v>1194966.4684000001</v>
      </c>
      <c r="L30" s="62">
        <f t="shared" si="60"/>
        <v>1202656.8539999998</v>
      </c>
      <c r="M30" s="62">
        <f t="shared" si="60"/>
        <v>1212846.6940100002</v>
      </c>
      <c r="N30" s="62">
        <f t="shared" si="60"/>
        <v>1209809.5677</v>
      </c>
      <c r="O30" s="62">
        <f t="shared" si="60"/>
        <v>1248856.8093000003</v>
      </c>
      <c r="P30" s="54">
        <f t="shared" ref="P30:AM30" si="61">SUM(P31:P35)</f>
        <v>1255863.93475</v>
      </c>
      <c r="Q30" s="54">
        <f t="shared" si="61"/>
        <v>1272885.0416700002</v>
      </c>
      <c r="R30" s="54">
        <f t="shared" si="61"/>
        <v>1286293.3479499999</v>
      </c>
      <c r="S30" s="54">
        <f t="shared" si="61"/>
        <v>1282616.7337199999</v>
      </c>
      <c r="T30" s="54">
        <f t="shared" si="61"/>
        <v>1303423.0331700002</v>
      </c>
      <c r="U30" s="55">
        <f t="shared" si="61"/>
        <v>1314207.2102399999</v>
      </c>
      <c r="V30" s="55">
        <f t="shared" si="61"/>
        <v>1316420.4969600001</v>
      </c>
      <c r="W30" s="55">
        <f t="shared" si="61"/>
        <v>1309785.5767299999</v>
      </c>
      <c r="X30" s="55">
        <f t="shared" si="61"/>
        <v>1298660.8844000003</v>
      </c>
      <c r="Y30" s="55">
        <f t="shared" si="61"/>
        <v>1296827.7600999998</v>
      </c>
      <c r="Z30" s="55">
        <f t="shared" si="61"/>
        <v>1290148.4763000002</v>
      </c>
      <c r="AA30" s="55">
        <f t="shared" si="61"/>
        <v>1294195.2998512001</v>
      </c>
      <c r="AB30" s="55">
        <f t="shared" si="61"/>
        <v>1230006.6279180001</v>
      </c>
      <c r="AC30" s="55">
        <f t="shared" si="61"/>
        <v>1237464.0621199999</v>
      </c>
      <c r="AD30" s="55">
        <f t="shared" si="61"/>
        <v>1206916.4572640001</v>
      </c>
      <c r="AE30" s="55">
        <f t="shared" si="61"/>
        <v>1210425.41707</v>
      </c>
      <c r="AF30" s="55">
        <f t="shared" si="61"/>
        <v>1314823.9585600002</v>
      </c>
      <c r="AG30" s="55">
        <f t="shared" si="61"/>
        <v>1314767.1459999999</v>
      </c>
      <c r="AH30" s="55">
        <f t="shared" si="61"/>
        <v>1285545.7652799999</v>
      </c>
      <c r="AI30" s="55">
        <f t="shared" si="61"/>
        <v>1270570.7071199999</v>
      </c>
      <c r="AJ30" s="55">
        <f t="shared" si="61"/>
        <v>1256129.0195999998</v>
      </c>
      <c r="AK30" s="55">
        <f t="shared" si="61"/>
        <v>1261013.0362</v>
      </c>
      <c r="AL30" s="55">
        <f t="shared" si="61"/>
        <v>1286127.9108599997</v>
      </c>
      <c r="AM30" s="55">
        <f t="shared" si="61"/>
        <v>1252794.8399999999</v>
      </c>
      <c r="AN30" s="55">
        <v>1257296.47</v>
      </c>
      <c r="AO30" s="56">
        <v>1286072.42775</v>
      </c>
      <c r="AP30" s="9">
        <f>SUM(AP31:AP35)</f>
        <v>1277895.4644500001</v>
      </c>
      <c r="AQ30" s="9">
        <f>SUM(AQ31:AQ35)</f>
        <v>1326504.5899999999</v>
      </c>
      <c r="AR30" s="9">
        <v>1348241.4780599996</v>
      </c>
      <c r="AS30" s="79">
        <f t="shared" ref="AS30:BG30" si="62">SUM(AS31:AS35)</f>
        <v>1323295.4185000001</v>
      </c>
      <c r="AT30" s="9">
        <f t="shared" si="62"/>
        <v>1259368.43</v>
      </c>
      <c r="AU30" s="9">
        <f t="shared" si="62"/>
        <v>1249770.3591899998</v>
      </c>
      <c r="AV30" s="2">
        <f t="shared" si="62"/>
        <v>1253712.02</v>
      </c>
      <c r="AW30" s="2">
        <f t="shared" si="62"/>
        <v>1332776.94</v>
      </c>
      <c r="AX30" s="79">
        <f t="shared" si="62"/>
        <v>1258747.6599999999</v>
      </c>
      <c r="AY30" s="79">
        <f t="shared" si="62"/>
        <v>1234402.54</v>
      </c>
      <c r="AZ30" s="9">
        <f t="shared" si="62"/>
        <v>1317311.8799999999</v>
      </c>
      <c r="BA30" s="9">
        <f t="shared" si="62"/>
        <v>1292088.71</v>
      </c>
      <c r="BB30" s="9">
        <f t="shared" si="62"/>
        <v>1275188.73</v>
      </c>
      <c r="BC30" s="9">
        <f t="shared" si="62"/>
        <v>1323201.95</v>
      </c>
      <c r="BD30" s="9">
        <f t="shared" si="62"/>
        <v>1329771.19</v>
      </c>
      <c r="BE30" s="56">
        <f t="shared" si="62"/>
        <v>1243869.2</v>
      </c>
      <c r="BF30" s="56">
        <f t="shared" si="62"/>
        <v>1287790.48</v>
      </c>
      <c r="BG30" s="56">
        <f t="shared" si="62"/>
        <v>1249602.57</v>
      </c>
      <c r="BH30" s="63">
        <f>SUM(BH31:BH35)</f>
        <v>1221022.8</v>
      </c>
      <c r="BI30" s="63">
        <f t="shared" ref="BI30:DE30" si="63">SUM(BI31:BI35)</f>
        <v>1293641.42</v>
      </c>
      <c r="BJ30" s="63">
        <f t="shared" si="63"/>
        <v>1254554.6099999999</v>
      </c>
      <c r="BK30" s="63">
        <f t="shared" si="63"/>
        <v>1242010.21</v>
      </c>
      <c r="BL30" s="63">
        <f t="shared" si="63"/>
        <v>1314012.03</v>
      </c>
      <c r="BM30" s="63">
        <f t="shared" si="63"/>
        <v>1318235.6799532</v>
      </c>
      <c r="BN30" s="63">
        <f t="shared" si="63"/>
        <v>1282907.7</v>
      </c>
      <c r="BO30" s="63">
        <f t="shared" si="63"/>
        <v>1349356.3900000001</v>
      </c>
      <c r="BP30" s="63">
        <f t="shared" si="63"/>
        <v>1357013.9019199999</v>
      </c>
      <c r="BQ30" s="63">
        <f t="shared" si="63"/>
        <v>1291590.52</v>
      </c>
      <c r="BR30" s="63">
        <f t="shared" si="63"/>
        <v>1303248.8900000001</v>
      </c>
      <c r="BS30" s="63">
        <f t="shared" si="63"/>
        <v>1346823.93</v>
      </c>
      <c r="BT30" s="63">
        <f t="shared" si="63"/>
        <v>1307085.55</v>
      </c>
      <c r="BU30" s="63">
        <f t="shared" si="63"/>
        <v>1363407.4</v>
      </c>
      <c r="BV30" s="63">
        <f t="shared" si="63"/>
        <v>1381321.47</v>
      </c>
      <c r="BW30" s="63">
        <f t="shared" si="63"/>
        <v>1355173.4347600001</v>
      </c>
      <c r="BX30" s="63">
        <f t="shared" si="63"/>
        <v>1433476.26</v>
      </c>
      <c r="BY30" s="63">
        <f t="shared" si="63"/>
        <v>1385073.25</v>
      </c>
      <c r="BZ30" s="63">
        <f t="shared" si="63"/>
        <v>1377700.5</v>
      </c>
      <c r="CA30" s="63">
        <f t="shared" si="63"/>
        <v>1426336.17</v>
      </c>
      <c r="CB30" s="63">
        <f t="shared" si="63"/>
        <v>1400108.6809999999</v>
      </c>
      <c r="CC30" s="63">
        <f t="shared" si="63"/>
        <v>1351362.1765699999</v>
      </c>
      <c r="CD30" s="63">
        <f t="shared" si="63"/>
        <v>1425257.7548099998</v>
      </c>
      <c r="CE30" s="63">
        <f t="shared" si="63"/>
        <v>1430619.9500000002</v>
      </c>
      <c r="CF30" s="63">
        <f t="shared" si="63"/>
        <v>1420356.1075200001</v>
      </c>
      <c r="CG30" s="63">
        <f t="shared" si="63"/>
        <v>1399127.7988700001</v>
      </c>
      <c r="CH30" s="63">
        <f t="shared" si="63"/>
        <v>1407425.12</v>
      </c>
      <c r="CI30" s="63">
        <f t="shared" si="63"/>
        <v>1403910.8176799999</v>
      </c>
      <c r="CJ30" s="64">
        <f t="shared" si="63"/>
        <v>1410683.409952</v>
      </c>
      <c r="CK30" s="64">
        <f t="shared" si="63"/>
        <v>1408564.26</v>
      </c>
      <c r="CL30" s="64">
        <f t="shared" si="63"/>
        <v>1378341.1998399999</v>
      </c>
      <c r="CM30" s="64">
        <f t="shared" si="63"/>
        <v>1389125.6718900001</v>
      </c>
      <c r="CN30" s="64">
        <f t="shared" si="63"/>
        <v>1374820.93</v>
      </c>
      <c r="CO30" s="64">
        <f t="shared" si="63"/>
        <v>1382120.96</v>
      </c>
      <c r="CP30" s="64">
        <f t="shared" si="63"/>
        <v>1392668.93</v>
      </c>
      <c r="CQ30" s="64">
        <f t="shared" si="63"/>
        <v>1396267.5487199998</v>
      </c>
      <c r="CR30" s="64">
        <f t="shared" si="63"/>
        <v>1369574.3199999998</v>
      </c>
      <c r="CS30" s="64">
        <f t="shared" si="63"/>
        <v>1386242.657355</v>
      </c>
      <c r="CT30" s="64">
        <f t="shared" si="63"/>
        <v>1377933.68</v>
      </c>
      <c r="CU30" s="64">
        <f t="shared" si="63"/>
        <v>1352345.5899999999</v>
      </c>
      <c r="CV30" s="64">
        <f t="shared" si="63"/>
        <v>1373112.1062540002</v>
      </c>
      <c r="CW30" s="64">
        <f t="shared" si="63"/>
        <v>1391813.44</v>
      </c>
      <c r="CX30" s="64">
        <f t="shared" si="63"/>
        <v>1381030.17</v>
      </c>
      <c r="CY30" s="64">
        <f t="shared" si="63"/>
        <v>1363246.7494815723</v>
      </c>
      <c r="CZ30" s="64">
        <f t="shared" si="63"/>
        <v>1443972.0667382497</v>
      </c>
      <c r="DA30" s="64">
        <f t="shared" si="63"/>
        <v>1438023.1312798862</v>
      </c>
      <c r="DB30" s="64">
        <f t="shared" si="63"/>
        <v>1439909.367444</v>
      </c>
      <c r="DC30" s="64">
        <f t="shared" si="63"/>
        <v>1421676.481863</v>
      </c>
      <c r="DD30" s="64">
        <f t="shared" si="63"/>
        <v>1419093.094848</v>
      </c>
      <c r="DE30" s="64">
        <f t="shared" si="63"/>
        <v>1423799.2812119999</v>
      </c>
      <c r="DF30" s="64">
        <f>SUM(DF31:DF35)</f>
        <v>1412989.9827679999</v>
      </c>
      <c r="DG30" s="64">
        <f t="shared" ref="DG30:DU30" si="64">SUM(DG31:DG35)</f>
        <v>1431274.2675659999</v>
      </c>
      <c r="DH30" s="64">
        <f t="shared" si="64"/>
        <v>1450151.1431919998</v>
      </c>
      <c r="DI30" s="64">
        <f t="shared" si="64"/>
        <v>1390756.9474170001</v>
      </c>
      <c r="DJ30" s="64">
        <f t="shared" si="64"/>
        <v>1375988.8622360001</v>
      </c>
      <c r="DK30" s="64">
        <f t="shared" si="64"/>
        <v>1357601.091705</v>
      </c>
      <c r="DL30" s="64">
        <f t="shared" si="64"/>
        <v>1361182.63509</v>
      </c>
      <c r="DM30" s="64">
        <f t="shared" si="64"/>
        <v>1401995.3266560002</v>
      </c>
      <c r="DN30" s="64">
        <f t="shared" si="64"/>
        <v>1400953.7423050001</v>
      </c>
      <c r="DO30" s="64">
        <f t="shared" si="64"/>
        <v>1381854.3068330002</v>
      </c>
      <c r="DP30" s="64">
        <f t="shared" si="64"/>
        <v>1370292.4410629999</v>
      </c>
      <c r="DQ30" s="64">
        <f t="shared" si="64"/>
        <v>1372691.6286300002</v>
      </c>
      <c r="DR30" s="64">
        <f t="shared" si="64"/>
        <v>1368674.176366</v>
      </c>
      <c r="DS30" s="64">
        <f t="shared" si="64"/>
        <v>1374847.0488120001</v>
      </c>
      <c r="DT30" s="64">
        <f t="shared" si="64"/>
        <v>1384712.7647079998</v>
      </c>
      <c r="DU30" s="64">
        <f t="shared" si="64"/>
        <v>1388935.05804</v>
      </c>
      <c r="DV30" s="64">
        <f t="shared" ref="DV30:DW30" si="65">SUM(DV31:DV35)</f>
        <v>1388118.4194720001</v>
      </c>
      <c r="DW30" s="64">
        <f t="shared" si="65"/>
        <v>1387894.9731790002</v>
      </c>
      <c r="DX30" s="64">
        <f t="shared" ref="DX30:DY30" si="66">SUM(DX31:DX35)</f>
        <v>1385530.0668580001</v>
      </c>
      <c r="DY30" s="64">
        <f t="shared" si="66"/>
        <v>1383692.6275749998</v>
      </c>
      <c r="DZ30" s="64">
        <f t="shared" ref="DZ30:EA30" si="67">SUM(DZ31:DZ35)</f>
        <v>1381213.3358896</v>
      </c>
      <c r="EA30" s="64">
        <f t="shared" si="67"/>
        <v>1377714.0600719999</v>
      </c>
      <c r="EB30" s="64">
        <f t="shared" ref="EB30" si="68">SUM(EB31:EB35)</f>
        <v>1370307.7294049999</v>
      </c>
      <c r="EC30" s="64">
        <f>SUM(EC31:EC35)-0.01</f>
        <v>1416013.3693230001</v>
      </c>
      <c r="ED30" s="64">
        <f>SUM(ED31:ED35)-0.01</f>
        <v>1409097.1151120001</v>
      </c>
      <c r="EE30" s="64">
        <f>SUM(EE31:EE35)</f>
        <v>1420583.53</v>
      </c>
      <c r="EF30" s="64">
        <f>SUM(EF31:EF35)</f>
        <v>1353333.7717724303</v>
      </c>
      <c r="EG30" s="64">
        <f>SUM(EG31:EG35)</f>
        <v>1356006.3335929001</v>
      </c>
      <c r="EH30" s="64">
        <f>SUM(EH31:EH35)</f>
        <v>1348368.1041492899</v>
      </c>
    </row>
    <row r="31" spans="1:138" x14ac:dyDescent="0.35">
      <c r="A31" s="49" t="s">
        <v>85</v>
      </c>
      <c r="B31" s="66" t="s">
        <v>37</v>
      </c>
      <c r="C31" s="51" t="s">
        <v>61</v>
      </c>
      <c r="D31" s="67">
        <f>788.1*115.6521-D25</f>
        <v>87062.900880000001</v>
      </c>
      <c r="E31" s="68">
        <f>781.9*116.1223-E25</f>
        <v>87114.949459999989</v>
      </c>
      <c r="F31" s="68">
        <f>780.8*116.9832-F25</f>
        <v>87901.176479999995</v>
      </c>
      <c r="G31" s="68">
        <f>777.3*117.4218-G25</f>
        <v>88371.646680000005</v>
      </c>
      <c r="H31" s="68">
        <f>818.4*117.8553-H25</f>
        <v>86930.069279999996</v>
      </c>
      <c r="I31" s="68">
        <f>780.9*119.0553-I25</f>
        <v>84362.585579999999</v>
      </c>
      <c r="J31" s="68">
        <f>783.2*119.8343-J25</f>
        <v>85741.441650000008</v>
      </c>
      <c r="K31" s="68">
        <f>776.3*119.932-K25</f>
        <v>85343.611199999999</v>
      </c>
      <c r="L31" s="68">
        <f>782.9*120.415-L25</f>
        <v>84651.744999999995</v>
      </c>
      <c r="M31" s="68">
        <f>758.6*121.3417-M25</f>
        <v>87681.512419999999</v>
      </c>
      <c r="N31" s="68">
        <f>761*121.8522-N25</f>
        <v>82762.014240000004</v>
      </c>
      <c r="O31" s="68">
        <f>751*122.0421-O25</f>
        <v>88626.973020000005</v>
      </c>
      <c r="P31" s="69">
        <f>746.2*123.1541-P25</f>
        <v>88535.482490000009</v>
      </c>
      <c r="Q31" s="69">
        <f>735.3*125.4111-Q25</f>
        <v>88013.509979999988</v>
      </c>
      <c r="R31" s="69">
        <f>738.1*126.3835-R25</f>
        <v>89075.090799999991</v>
      </c>
      <c r="S31" s="69">
        <f>714.4*126.5582-S25</f>
        <v>86211.44584</v>
      </c>
      <c r="T31" s="69">
        <f>713.7*127.5727-T25</f>
        <v>86749.436000000016</v>
      </c>
      <c r="U31" s="70">
        <f>706.4*128.2704-U25</f>
        <v>86672.309279999987</v>
      </c>
      <c r="V31" s="70">
        <f>707.4*129.1064-V25</f>
        <v>87818.173280000003</v>
      </c>
      <c r="W31" s="70">
        <f>705.7*129.0391-W25</f>
        <v>87423.990250000003</v>
      </c>
      <c r="X31" s="70">
        <f>703.3*128.4404-X25</f>
        <v>86684.425960000008</v>
      </c>
      <c r="Y31" s="70">
        <f>691.9*128.2591-Y25</f>
        <v>85292.301499999987</v>
      </c>
      <c r="Z31" s="70">
        <f>689.8*128.1053-Z25</f>
        <v>85023.487609999982</v>
      </c>
      <c r="AA31" s="70">
        <f>681.4*128.6672-AA25</f>
        <v>84313.042816000001</v>
      </c>
      <c r="AB31" s="70">
        <f>687.4*129.4011-AB25</f>
        <v>85570.359408000004</v>
      </c>
      <c r="AC31" s="70">
        <f>698.3*130.1443-AC25</f>
        <v>87548.070609999981</v>
      </c>
      <c r="AD31" s="70">
        <f>703.3*128.6228-AD25</f>
        <v>87206.106599999999</v>
      </c>
      <c r="AE31" s="70">
        <f>687.36*128.2195-AE25</f>
        <v>84905.670704999997</v>
      </c>
      <c r="AF31" s="70">
        <f>703.3*129.6466-AF25</f>
        <v>87913.359459999992</v>
      </c>
      <c r="AG31" s="70">
        <f>691.8*129.91-AG25</f>
        <v>86598.005999999994</v>
      </c>
      <c r="AH31" s="70">
        <f>689.5*127.2868-AH25</f>
        <v>84429.334440000006</v>
      </c>
      <c r="AI31" s="70">
        <f>692.3*126.0787-AI25</f>
        <v>83375.844309999986</v>
      </c>
      <c r="AJ31" s="70">
        <f>687.9*125.0004-AJ25</f>
        <v>82187.762999999992</v>
      </c>
      <c r="AK31" s="70">
        <f>694.2*125.3866-AK25</f>
        <v>83595.246220000001</v>
      </c>
      <c r="AL31" s="70">
        <f>691.5*128.154-AL25</f>
        <v>84940.4712</v>
      </c>
      <c r="AM31" s="70">
        <f>685.6*125.985-AM25</f>
        <v>82809.940500000012</v>
      </c>
      <c r="AN31" s="70">
        <v>83363.600000000006</v>
      </c>
      <c r="AO31" s="71">
        <v>85247.016250000001</v>
      </c>
      <c r="AP31" s="5">
        <v>88601.228099999993</v>
      </c>
      <c r="AQ31" s="11">
        <v>87970.42</v>
      </c>
      <c r="AR31" s="11">
        <v>93026.282339999976</v>
      </c>
      <c r="AS31" s="72">
        <v>91600.811720000012</v>
      </c>
      <c r="AT31" s="5">
        <v>88177.52</v>
      </c>
      <c r="AU31" s="5">
        <v>88662.3</v>
      </c>
      <c r="AV31" s="1">
        <v>89273.62</v>
      </c>
      <c r="AW31" s="1">
        <v>93450.34</v>
      </c>
      <c r="AX31" s="72">
        <v>87820.2</v>
      </c>
      <c r="AY31" s="72">
        <v>85339.66</v>
      </c>
      <c r="AZ31" s="6">
        <v>92920.51</v>
      </c>
      <c r="BA31" s="6">
        <v>91194.76</v>
      </c>
      <c r="BB31" s="6">
        <v>92193.37</v>
      </c>
      <c r="BC31" s="6">
        <v>91132.81</v>
      </c>
      <c r="BD31" s="6">
        <v>90866.32</v>
      </c>
      <c r="BE31" s="71">
        <v>103545.39</v>
      </c>
      <c r="BF31" s="71">
        <v>107192.95</v>
      </c>
      <c r="BG31" s="71">
        <v>107836.52</v>
      </c>
      <c r="BH31" s="73">
        <v>101163.4</v>
      </c>
      <c r="BI31" s="73">
        <v>102818.48</v>
      </c>
      <c r="BJ31" s="73">
        <v>100884.96</v>
      </c>
      <c r="BK31" s="73">
        <v>98040.54</v>
      </c>
      <c r="BL31" s="73">
        <v>105198.16</v>
      </c>
      <c r="BM31" s="73">
        <v>105518.91211120001</v>
      </c>
      <c r="BN31" s="73">
        <v>102810.15</v>
      </c>
      <c r="BO31" s="73">
        <v>102873.59</v>
      </c>
      <c r="BP31" s="73">
        <v>103934.38</v>
      </c>
      <c r="BQ31" s="73">
        <v>98720.2</v>
      </c>
      <c r="BR31" s="73">
        <v>102466.3</v>
      </c>
      <c r="BS31" s="73">
        <v>103877.34</v>
      </c>
      <c r="BT31" s="73">
        <v>102711.78</v>
      </c>
      <c r="BU31" s="73">
        <v>102810.99</v>
      </c>
      <c r="BV31" s="73">
        <v>104048.85</v>
      </c>
      <c r="BW31" s="73">
        <v>98951.172377999988</v>
      </c>
      <c r="BX31" s="73">
        <v>104455.58</v>
      </c>
      <c r="BY31" s="73">
        <v>101163.85</v>
      </c>
      <c r="BZ31" s="73">
        <v>105067.93</v>
      </c>
      <c r="CA31" s="73">
        <v>104192.24</v>
      </c>
      <c r="CB31" s="73">
        <v>102377.015</v>
      </c>
      <c r="CC31" s="73">
        <v>98476.85407999999</v>
      </c>
      <c r="CD31" s="73">
        <v>103964.44573000001</v>
      </c>
      <c r="CE31" s="73">
        <v>104139.94</v>
      </c>
      <c r="CF31" s="73">
        <v>108949.17949999998</v>
      </c>
      <c r="CG31" s="73">
        <v>107726.69950999999</v>
      </c>
      <c r="CH31" s="73">
        <v>108266.94</v>
      </c>
      <c r="CI31" s="73">
        <v>106062.13497000001</v>
      </c>
      <c r="CJ31" s="74">
        <v>106186.03</v>
      </c>
      <c r="CK31" s="74">
        <v>105946.27</v>
      </c>
      <c r="CL31" s="74">
        <v>107172.72412</v>
      </c>
      <c r="CM31" s="74">
        <v>103234.729488</v>
      </c>
      <c r="CN31" s="74">
        <v>109808.36</v>
      </c>
      <c r="CO31" s="74">
        <v>109420.29</v>
      </c>
      <c r="CP31" s="74">
        <v>110320.82</v>
      </c>
      <c r="CQ31" s="74">
        <v>110751.15788</v>
      </c>
      <c r="CR31" s="74">
        <v>108802.4</v>
      </c>
      <c r="CS31" s="74">
        <v>110976.09448999999</v>
      </c>
      <c r="CT31" s="74">
        <v>110286.71</v>
      </c>
      <c r="CU31" s="74">
        <v>107671.83</v>
      </c>
      <c r="CV31" s="74">
        <v>110753.02224000001</v>
      </c>
      <c r="CW31" s="74">
        <v>112332.6</v>
      </c>
      <c r="CX31" s="74">
        <v>115443.28</v>
      </c>
      <c r="CY31" s="74">
        <v>110964.58694657251</v>
      </c>
      <c r="CZ31" s="74">
        <v>110950.81182506018</v>
      </c>
      <c r="DA31" s="74">
        <v>110083.02936951601</v>
      </c>
      <c r="DB31" s="74">
        <v>110467.750722</v>
      </c>
      <c r="DC31" s="74">
        <v>109953.029241</v>
      </c>
      <c r="DD31" s="74">
        <v>109661.497088</v>
      </c>
      <c r="DE31" s="74">
        <v>105461.573294</v>
      </c>
      <c r="DF31" s="74">
        <v>105353.71861299999</v>
      </c>
      <c r="DG31" s="74">
        <v>103084.159464</v>
      </c>
      <c r="DH31" s="74">
        <v>104428.508328</v>
      </c>
      <c r="DI31" s="74">
        <v>106146.34656300001</v>
      </c>
      <c r="DJ31" s="74">
        <v>106394.017336</v>
      </c>
      <c r="DK31" s="74">
        <v>96505.109670000005</v>
      </c>
      <c r="DL31" s="74">
        <v>96929.894160000011</v>
      </c>
      <c r="DM31" s="74">
        <v>94573.457471999995</v>
      </c>
      <c r="DN31" s="74">
        <v>94598.930205000011</v>
      </c>
      <c r="DO31" s="74">
        <v>93209.428312000004</v>
      </c>
      <c r="DP31" s="74">
        <v>92488.721669999984</v>
      </c>
      <c r="DQ31" s="74">
        <v>89806.787909999999</v>
      </c>
      <c r="DR31" s="74">
        <v>89677.062325999999</v>
      </c>
      <c r="DS31" s="74">
        <v>87915.695453999986</v>
      </c>
      <c r="DT31" s="74">
        <v>88533.74656</v>
      </c>
      <c r="DU31" s="74">
        <v>88812.998460000003</v>
      </c>
      <c r="DV31" s="74">
        <v>88802.836384000009</v>
      </c>
      <c r="DW31" s="74">
        <v>86971.098832000003</v>
      </c>
      <c r="DX31" s="74">
        <v>86896.570291999989</v>
      </c>
      <c r="DY31" s="74">
        <v>84585.909274999998</v>
      </c>
      <c r="DZ31" s="74">
        <v>84623.346985600001</v>
      </c>
      <c r="EA31" s="74">
        <v>84350.20229999999</v>
      </c>
      <c r="EB31" s="74">
        <v>83454.304380000001</v>
      </c>
      <c r="EC31" s="74">
        <v>80458.223748999997</v>
      </c>
      <c r="ED31" s="74">
        <v>80287.938867000004</v>
      </c>
      <c r="EE31" s="74">
        <v>78503.832999999999</v>
      </c>
      <c r="EF31" s="74">
        <v>78220.611522480001</v>
      </c>
      <c r="EG31" s="74">
        <v>78307.256245900004</v>
      </c>
      <c r="EH31" s="74">
        <v>77817.948972750004</v>
      </c>
    </row>
    <row r="32" spans="1:138" x14ac:dyDescent="0.35">
      <c r="A32" s="49" t="s">
        <v>86</v>
      </c>
      <c r="B32" s="66" t="s">
        <v>38</v>
      </c>
      <c r="C32" s="51" t="s">
        <v>62</v>
      </c>
      <c r="D32" s="67">
        <f>3323.9*115.6521-D26</f>
        <v>364755.15818999999</v>
      </c>
      <c r="E32" s="68">
        <f>3313.7*116.1223-E26</f>
        <v>366063.93851999997</v>
      </c>
      <c r="F32" s="68">
        <f>3347.9*116.9832-F26</f>
        <v>375820.22831999999</v>
      </c>
      <c r="G32" s="68">
        <f>3331.1*117.4218-G26</f>
        <v>376736.10311999999</v>
      </c>
      <c r="H32" s="68">
        <f>3452.9*117.8553-H26</f>
        <v>384927.19533000002</v>
      </c>
      <c r="I32" s="68">
        <f>3486.3*119.0553-I26</f>
        <v>394656.41397000005</v>
      </c>
      <c r="J32" s="68">
        <f>3462.6*119.8343-J26</f>
        <v>396927.15188999998</v>
      </c>
      <c r="K32" s="68">
        <f>3444.5*119.932-K26</f>
        <v>395847.55920000002</v>
      </c>
      <c r="L32" s="68">
        <f>3529.5*120.415-L26</f>
        <v>405509.554</v>
      </c>
      <c r="M32" s="68">
        <f>3526.7*121.3417-M26</f>
        <v>409952.93345000001</v>
      </c>
      <c r="N32" s="68">
        <f>3512.3*121.8522-N26</f>
        <v>408643.53792000003</v>
      </c>
      <c r="O32" s="68">
        <f>3530.9*122.0421-O26</f>
        <v>430259.42355000007</v>
      </c>
      <c r="P32" s="69">
        <f>3514.7*123.1541-P26</f>
        <v>431556.59722</v>
      </c>
      <c r="Q32" s="69">
        <f>3507.4*125.4111-Q26</f>
        <v>438336.87672</v>
      </c>
      <c r="R32" s="69">
        <f>3555.7*126.3835-R26</f>
        <v>447852.57059999998</v>
      </c>
      <c r="S32" s="69">
        <f>3547.4*126.5582-S26</f>
        <v>447547.76266000001</v>
      </c>
      <c r="T32" s="69">
        <f>3667.8*127.5727-T26</f>
        <v>466495.09209000005</v>
      </c>
      <c r="U32" s="70">
        <f>3699.9*128.2704-U26</f>
        <v>472727.73215999996</v>
      </c>
      <c r="V32" s="70">
        <f>3666.3*129.1064-V26</f>
        <v>472051.73032000003</v>
      </c>
      <c r="W32" s="70">
        <f>3646.3*129.0391-W26</f>
        <v>469186.16759999999</v>
      </c>
      <c r="X32" s="70">
        <f>3703.8*128.4404-X26</f>
        <v>474407.4614400001</v>
      </c>
      <c r="Y32" s="70">
        <f>3710.2*128.2591-Y26</f>
        <v>474558.66999999993</v>
      </c>
      <c r="Z32" s="70">
        <f>3670*128.1053-Z26</f>
        <v>469249.71389999997</v>
      </c>
      <c r="AA32" s="70">
        <f>3671.87*128.6672-AA26</f>
        <v>471899.82272</v>
      </c>
      <c r="AB32" s="70">
        <f>3113*129.4011-AB26</f>
        <v>402424.48089000001</v>
      </c>
      <c r="AC32" s="70">
        <f>3120.7*130.1443-AC26</f>
        <v>405698.82638999994</v>
      </c>
      <c r="AD32" s="83">
        <f>3106.7*128.6228-AD26</f>
        <v>399152.56278400001</v>
      </c>
      <c r="AE32" s="83">
        <f>3183.36*128.2195-AE26</f>
        <v>407730.31683000003</v>
      </c>
      <c r="AF32" s="83">
        <f>3158.2*129.6466-AF26</f>
        <v>407219.9706</v>
      </c>
      <c r="AG32" s="83">
        <f>3152*129.91-AG26</f>
        <v>407436.73300000001</v>
      </c>
      <c r="AH32" s="83">
        <f>3141.6*127.2868-AH26</f>
        <v>397885.80811999994</v>
      </c>
      <c r="AI32" s="83">
        <f>3132*126.0787-AI26</f>
        <v>392886.44493999996</v>
      </c>
      <c r="AJ32" s="83">
        <f>3121.2*125.0004-AJ26</f>
        <v>388176.24215999997</v>
      </c>
      <c r="AK32" s="83">
        <f>3127.5*125.3866-AK26</f>
        <v>389613.78217999998</v>
      </c>
      <c r="AL32" s="70">
        <f>3104.1*128.154-AL26</f>
        <v>396111.19859999995</v>
      </c>
      <c r="AM32" s="83">
        <f>3114.8*125.985-AM26</f>
        <v>390855.86400000006</v>
      </c>
      <c r="AN32" s="83">
        <v>388294.9</v>
      </c>
      <c r="AO32" s="71">
        <v>400769.69349999999</v>
      </c>
      <c r="AP32" s="5">
        <v>400739.07511000003</v>
      </c>
      <c r="AQ32" s="11">
        <v>423449.93</v>
      </c>
      <c r="AR32" s="11">
        <v>427400.95295999991</v>
      </c>
      <c r="AS32" s="71">
        <v>418767.79230000003</v>
      </c>
      <c r="AT32" s="5">
        <v>397461.12</v>
      </c>
      <c r="AU32" s="5">
        <v>393676.96</v>
      </c>
      <c r="AV32" s="71">
        <v>398060.74</v>
      </c>
      <c r="AW32" s="71">
        <v>423679.3</v>
      </c>
      <c r="AX32" s="72">
        <v>398926.3</v>
      </c>
      <c r="AY32" s="72">
        <v>391199.13</v>
      </c>
      <c r="AZ32" s="6">
        <v>415638.78</v>
      </c>
      <c r="BA32" s="6">
        <v>409340.42</v>
      </c>
      <c r="BB32" s="6">
        <v>402654.62</v>
      </c>
      <c r="BC32" s="6">
        <v>419429.54</v>
      </c>
      <c r="BD32" s="6">
        <v>419923.83</v>
      </c>
      <c r="BE32" s="5">
        <v>409964.58</v>
      </c>
      <c r="BF32" s="5">
        <v>423422.98</v>
      </c>
      <c r="BG32" s="5">
        <v>407951.12</v>
      </c>
      <c r="BH32" s="20">
        <v>403589.09</v>
      </c>
      <c r="BI32" s="20">
        <v>427808.04</v>
      </c>
      <c r="BJ32" s="20">
        <v>413458.46</v>
      </c>
      <c r="BK32" s="20">
        <v>413350.82</v>
      </c>
      <c r="BL32" s="20">
        <v>437389.32</v>
      </c>
      <c r="BM32" s="20">
        <v>438401.35784200003</v>
      </c>
      <c r="BN32" s="20">
        <v>425367.72</v>
      </c>
      <c r="BO32" s="20">
        <v>448645.75</v>
      </c>
      <c r="BP32" s="20">
        <v>448342.02191999991</v>
      </c>
      <c r="BQ32" s="20">
        <v>426854.40000000002</v>
      </c>
      <c r="BR32" s="20">
        <v>434766.67</v>
      </c>
      <c r="BS32" s="20">
        <v>451999.26</v>
      </c>
      <c r="BT32" s="20">
        <v>436549.65</v>
      </c>
      <c r="BU32" s="20">
        <v>455290.01</v>
      </c>
      <c r="BV32" s="20">
        <v>459437.68</v>
      </c>
      <c r="BW32" s="20">
        <v>467226.42793699994</v>
      </c>
      <c r="BX32" s="20">
        <v>498428.08</v>
      </c>
      <c r="BY32" s="20">
        <v>479993.22</v>
      </c>
      <c r="BZ32" s="73">
        <v>474099.99</v>
      </c>
      <c r="CA32" s="73">
        <v>490971.17</v>
      </c>
      <c r="CB32" s="73">
        <v>479979.424</v>
      </c>
      <c r="CC32" s="73">
        <v>464142.85201999999</v>
      </c>
      <c r="CD32" s="73">
        <v>487476.35079</v>
      </c>
      <c r="CE32" s="73">
        <v>487218.9</v>
      </c>
      <c r="CF32" s="73">
        <v>481563.12777999992</v>
      </c>
      <c r="CG32" s="73">
        <v>483725.70610999997</v>
      </c>
      <c r="CH32" s="73">
        <v>498964.04</v>
      </c>
      <c r="CI32" s="73">
        <v>507028.36771000002</v>
      </c>
      <c r="CJ32" s="74">
        <v>508146.26295200002</v>
      </c>
      <c r="CK32" s="74">
        <v>506846.44</v>
      </c>
      <c r="CL32" s="74">
        <v>492677.16849999997</v>
      </c>
      <c r="CM32" s="74">
        <v>496698.06357600004</v>
      </c>
      <c r="CN32" s="74">
        <v>486295.25</v>
      </c>
      <c r="CO32" s="74">
        <v>487729.55</v>
      </c>
      <c r="CP32" s="74">
        <v>490620.17</v>
      </c>
      <c r="CQ32" s="74">
        <v>490820.16948799998</v>
      </c>
      <c r="CR32" s="74">
        <v>480647.33</v>
      </c>
      <c r="CS32" s="74">
        <v>484618.52266000002</v>
      </c>
      <c r="CT32" s="74">
        <v>479019.37</v>
      </c>
      <c r="CU32" s="74">
        <v>470395.51</v>
      </c>
      <c r="CV32" s="74">
        <v>475768.85907600005</v>
      </c>
      <c r="CW32" s="74">
        <v>479978.87</v>
      </c>
      <c r="CX32" s="74">
        <v>473202.72</v>
      </c>
      <c r="CY32" s="74">
        <v>473489.35557700001</v>
      </c>
      <c r="CZ32" s="74">
        <v>555275.53776968957</v>
      </c>
      <c r="DA32" s="74">
        <v>549879.84746037005</v>
      </c>
      <c r="DB32" s="74">
        <v>548400.89053199999</v>
      </c>
      <c r="DC32" s="74">
        <v>534368.83559400006</v>
      </c>
      <c r="DD32" s="74">
        <v>533873.85567999992</v>
      </c>
      <c r="DE32" s="74">
        <v>535838.89328199998</v>
      </c>
      <c r="DF32" s="74">
        <v>523499.75716999994</v>
      </c>
      <c r="DG32" s="74">
        <v>553812.05107799987</v>
      </c>
      <c r="DH32" s="74">
        <v>560834.41344799998</v>
      </c>
      <c r="DI32" s="74">
        <v>505124.224713</v>
      </c>
      <c r="DJ32" s="74">
        <v>502678.59709699999</v>
      </c>
      <c r="DK32" s="74">
        <v>503799.77227500005</v>
      </c>
      <c r="DL32" s="74">
        <v>504798.42330000002</v>
      </c>
      <c r="DM32" s="74">
        <v>544868.61626400007</v>
      </c>
      <c r="DN32" s="74">
        <v>541826.13438200008</v>
      </c>
      <c r="DO32" s="74">
        <v>532826.36907500005</v>
      </c>
      <c r="DP32" s="74">
        <v>526489.66276400001</v>
      </c>
      <c r="DQ32" s="74">
        <v>526969.97765999998</v>
      </c>
      <c r="DR32" s="74">
        <v>523546.76679399994</v>
      </c>
      <c r="DS32" s="74">
        <v>551427.99276599998</v>
      </c>
      <c r="DT32" s="74">
        <v>555774.10221199994</v>
      </c>
      <c r="DU32" s="74">
        <v>556959.09927600005</v>
      </c>
      <c r="DV32" s="74">
        <v>556162.72207600006</v>
      </c>
      <c r="DW32" s="74">
        <v>553795.76025400008</v>
      </c>
      <c r="DX32" s="74">
        <v>552130.38816600002</v>
      </c>
      <c r="DY32" s="74">
        <v>552038.93741000001</v>
      </c>
      <c r="DZ32" s="74">
        <v>548499.82802400005</v>
      </c>
      <c r="EA32" s="74">
        <v>546445.83898799994</v>
      </c>
      <c r="EB32" s="74">
        <v>546738.78925499995</v>
      </c>
      <c r="EC32" s="74">
        <v>604971.92393300007</v>
      </c>
      <c r="ED32" s="74">
        <v>599357.88512400002</v>
      </c>
      <c r="EE32" s="74">
        <v>606950.951</v>
      </c>
      <c r="EF32" s="74">
        <v>605717.84992635006</v>
      </c>
      <c r="EG32" s="74">
        <v>605449.44691000006</v>
      </c>
      <c r="EH32" s="74">
        <v>598804.40755453997</v>
      </c>
    </row>
    <row r="33" spans="1:138" x14ac:dyDescent="0.35">
      <c r="A33" s="49" t="s">
        <v>87</v>
      </c>
      <c r="B33" s="66" t="s">
        <v>39</v>
      </c>
      <c r="C33" s="51" t="s">
        <v>63</v>
      </c>
      <c r="D33" s="67">
        <f>317.5*115.6521-D27</f>
        <v>30347.111040000003</v>
      </c>
      <c r="E33" s="68">
        <f>309.3*116.1223-E27</f>
        <v>29576.34981</v>
      </c>
      <c r="F33" s="68">
        <f>305.6*116.9832-F27</f>
        <v>29924.30256</v>
      </c>
      <c r="G33" s="68">
        <f>328.5*117.4218-G27</f>
        <v>32725.45566</v>
      </c>
      <c r="H33" s="68">
        <f>330.8*117.8553-H27</f>
        <v>29982.388320000005</v>
      </c>
      <c r="I33" s="68">
        <f>327.1*119.0553-I27</f>
        <v>30061.463250000008</v>
      </c>
      <c r="J33" s="68">
        <f>307*119.8343-J27</f>
        <v>30066.425870000003</v>
      </c>
      <c r="K33" s="68">
        <f>289.9*119.932-K27</f>
        <v>29263.407999999996</v>
      </c>
      <c r="L33" s="68">
        <f>290.3*120.415-L27</f>
        <v>26864.586500000005</v>
      </c>
      <c r="M33" s="68">
        <f>281.1*121.3417-M27</f>
        <v>25954.98963</v>
      </c>
      <c r="N33" s="68">
        <f>280.7*121.8522-N27</f>
        <v>26100.741239999996</v>
      </c>
      <c r="O33" s="68">
        <f>285.5*122.0421-O27</f>
        <v>34574.526930000007</v>
      </c>
      <c r="P33" s="69">
        <f>275.2*123.1541-P27</f>
        <v>33892.008320000001</v>
      </c>
      <c r="Q33" s="69">
        <f>260.6*125.4111-Q27</f>
        <v>32682.132660000003</v>
      </c>
      <c r="R33" s="69">
        <f>255.4*126.3835-R27</f>
        <v>32088.770649999999</v>
      </c>
      <c r="S33" s="69">
        <f>243.1*126.5582-S27</f>
        <v>30576.46112</v>
      </c>
      <c r="T33" s="69">
        <f>244.6*127.5727-T27</f>
        <v>31000.166099999999</v>
      </c>
      <c r="U33" s="70">
        <f>249.2*128.2704-U27</f>
        <v>31759.751039999999</v>
      </c>
      <c r="V33" s="70">
        <f>239.1*129.1064-V27</f>
        <v>29332.97408</v>
      </c>
      <c r="W33" s="70">
        <f>228.4*129.0391-W27</f>
        <v>27949.869059999997</v>
      </c>
      <c r="X33" s="70">
        <f>216.7*128.4404-X27</f>
        <v>25855.052520000001</v>
      </c>
      <c r="Y33" s="70">
        <f>219.8*128.2591-Y27</f>
        <v>26177.682309999997</v>
      </c>
      <c r="Z33" s="70">
        <f>217.91*128.1053-Z27</f>
        <v>25928.512719999999</v>
      </c>
      <c r="AA33" s="70">
        <f>210.481*128.6672-AA27</f>
        <v>25018.179035200003</v>
      </c>
      <c r="AB33" s="70">
        <f>204.1*129.4011-AB27</f>
        <v>24974.4123</v>
      </c>
      <c r="AC33" s="70">
        <f>196.5*130.1443-AC27</f>
        <v>24089.709929999997</v>
      </c>
      <c r="AD33" s="70">
        <f>180.2*128.6228-AD27</f>
        <v>21582.905840000003</v>
      </c>
      <c r="AE33" s="70">
        <f>176.4*128.2195-AE27</f>
        <v>21001.071905000004</v>
      </c>
      <c r="AF33" s="70">
        <f>176.7*129.6466-AF27</f>
        <v>21275.007059999996</v>
      </c>
      <c r="AG33" s="70">
        <f>171.9*129.91-AG27</f>
        <v>20824.573</v>
      </c>
      <c r="AH33" s="70">
        <f>158*127.2868-AH27</f>
        <v>19474.880399999998</v>
      </c>
      <c r="AI33" s="70">
        <f>148.4*126.0787-AI27</f>
        <v>18079.685580000001</v>
      </c>
      <c r="AJ33" s="70">
        <f>142.9*125.0004-AJ27</f>
        <v>16912.554120000001</v>
      </c>
      <c r="AK33" s="70">
        <f>140.1*125.3866-AK27</f>
        <v>16576.108519999998</v>
      </c>
      <c r="AL33" s="70">
        <f>139.1*128.154-AL27</f>
        <v>16826.617859999998</v>
      </c>
      <c r="AM33" s="70">
        <f>140.2*125.985-AM27</f>
        <v>16806.398999999998</v>
      </c>
      <c r="AN33" s="70">
        <v>14888.15</v>
      </c>
      <c r="AO33" s="71">
        <v>13506.504000000001</v>
      </c>
      <c r="AP33" s="5">
        <v>13506.504000000001</v>
      </c>
      <c r="AQ33" s="11">
        <v>7720.27</v>
      </c>
      <c r="AR33" s="11">
        <v>7881.718139999999</v>
      </c>
      <c r="AS33" s="71">
        <v>7820.2403400000003</v>
      </c>
      <c r="AT33" s="5">
        <v>7188.45</v>
      </c>
      <c r="AU33" s="5">
        <v>5750.6534999999994</v>
      </c>
      <c r="AV33" s="71">
        <v>5913.26</v>
      </c>
      <c r="AW33" s="71">
        <v>5267.07</v>
      </c>
      <c r="AX33" s="72">
        <v>5049.21</v>
      </c>
      <c r="AY33" s="72">
        <v>4843.67</v>
      </c>
      <c r="AZ33" s="6">
        <v>5155.5</v>
      </c>
      <c r="BA33" s="6">
        <v>794.27</v>
      </c>
      <c r="BB33" s="6">
        <v>786.41</v>
      </c>
      <c r="BC33" s="6">
        <v>0</v>
      </c>
      <c r="BD33" s="6">
        <v>0</v>
      </c>
      <c r="BE33" s="71">
        <v>0</v>
      </c>
      <c r="BF33" s="71">
        <v>0</v>
      </c>
      <c r="BG33" s="71">
        <v>0</v>
      </c>
      <c r="BH33" s="73">
        <v>0</v>
      </c>
      <c r="BI33" s="73">
        <v>0</v>
      </c>
      <c r="BJ33" s="73">
        <v>0</v>
      </c>
      <c r="BK33" s="73">
        <v>0</v>
      </c>
      <c r="BL33" s="73">
        <v>0</v>
      </c>
      <c r="BM33" s="73">
        <v>0</v>
      </c>
      <c r="BN33" s="73">
        <v>0</v>
      </c>
      <c r="BO33" s="73">
        <v>0</v>
      </c>
      <c r="BP33" s="73">
        <v>0</v>
      </c>
      <c r="BQ33" s="73">
        <v>0</v>
      </c>
      <c r="BR33" s="73">
        <v>0</v>
      </c>
      <c r="BS33" s="73">
        <v>0</v>
      </c>
      <c r="BT33" s="73">
        <v>0</v>
      </c>
      <c r="BU33" s="73">
        <v>0</v>
      </c>
      <c r="BV33" s="73">
        <v>0</v>
      </c>
      <c r="BW33" s="73">
        <v>0</v>
      </c>
      <c r="BX33" s="73">
        <v>0</v>
      </c>
      <c r="BY33" s="73">
        <v>0</v>
      </c>
      <c r="BZ33" s="73">
        <v>0</v>
      </c>
      <c r="CA33" s="73">
        <v>0</v>
      </c>
      <c r="CB33" s="73">
        <v>0</v>
      </c>
      <c r="CC33" s="73">
        <v>0</v>
      </c>
      <c r="CD33" s="73">
        <v>0</v>
      </c>
      <c r="CE33" s="73">
        <v>0</v>
      </c>
      <c r="CF33" s="73">
        <v>0</v>
      </c>
      <c r="CG33" s="73">
        <v>0</v>
      </c>
      <c r="CH33" s="73">
        <v>0</v>
      </c>
      <c r="CI33" s="73">
        <v>0</v>
      </c>
      <c r="CJ33" s="74">
        <v>0</v>
      </c>
      <c r="CK33" s="74">
        <v>0</v>
      </c>
      <c r="CL33" s="74">
        <v>0</v>
      </c>
      <c r="CM33" s="74">
        <v>0</v>
      </c>
      <c r="CN33" s="74">
        <v>0</v>
      </c>
      <c r="CO33" s="74">
        <v>0</v>
      </c>
      <c r="CP33" s="74">
        <v>0</v>
      </c>
      <c r="CQ33" s="74">
        <v>0</v>
      </c>
      <c r="CR33" s="74">
        <v>0</v>
      </c>
      <c r="CS33" s="74">
        <v>0</v>
      </c>
      <c r="CT33" s="74">
        <v>0</v>
      </c>
      <c r="CU33" s="74">
        <v>0</v>
      </c>
      <c r="CV33" s="74">
        <v>0</v>
      </c>
      <c r="CW33" s="74">
        <v>0</v>
      </c>
      <c r="CX33" s="74">
        <v>0</v>
      </c>
      <c r="CY33" s="74">
        <v>0</v>
      </c>
      <c r="CZ33" s="74">
        <v>0</v>
      </c>
      <c r="DA33" s="74">
        <v>0</v>
      </c>
      <c r="DB33" s="74">
        <v>0</v>
      </c>
      <c r="DC33" s="74">
        <v>0</v>
      </c>
      <c r="DD33" s="74">
        <v>0</v>
      </c>
      <c r="DE33" s="74">
        <v>0</v>
      </c>
      <c r="DF33" s="74">
        <v>0</v>
      </c>
      <c r="DG33" s="74">
        <v>0</v>
      </c>
      <c r="DH33" s="74">
        <v>0</v>
      </c>
      <c r="DI33" s="74">
        <v>0</v>
      </c>
      <c r="DJ33" s="74">
        <v>0</v>
      </c>
      <c r="DK33" s="74">
        <v>0</v>
      </c>
      <c r="DL33" s="74">
        <v>0</v>
      </c>
      <c r="DM33" s="74">
        <v>0</v>
      </c>
      <c r="DN33" s="74">
        <v>0</v>
      </c>
      <c r="DO33" s="74">
        <v>0</v>
      </c>
      <c r="DP33" s="74">
        <v>0</v>
      </c>
      <c r="DQ33" s="74">
        <v>0</v>
      </c>
      <c r="DR33" s="74">
        <v>0</v>
      </c>
      <c r="DS33" s="74">
        <v>0</v>
      </c>
      <c r="DT33" s="74">
        <v>0</v>
      </c>
      <c r="DU33" s="74">
        <v>0</v>
      </c>
      <c r="DV33" s="74">
        <v>0</v>
      </c>
      <c r="DW33" s="74">
        <v>0</v>
      </c>
      <c r="DX33" s="74">
        <v>0</v>
      </c>
      <c r="DY33" s="74">
        <v>0</v>
      </c>
      <c r="DZ33" s="74">
        <v>0</v>
      </c>
      <c r="EA33" s="74">
        <v>0</v>
      </c>
      <c r="EB33" s="74">
        <v>0</v>
      </c>
      <c r="EC33" s="74">
        <v>0</v>
      </c>
      <c r="ED33" s="74">
        <v>0</v>
      </c>
      <c r="EE33" s="74">
        <v>0</v>
      </c>
      <c r="EF33" s="74">
        <v>0</v>
      </c>
      <c r="EG33" s="74">
        <v>0</v>
      </c>
      <c r="EH33" s="74">
        <v>0</v>
      </c>
    </row>
    <row r="34" spans="1:138" x14ac:dyDescent="0.35">
      <c r="A34" s="49" t="s">
        <v>88</v>
      </c>
      <c r="B34" s="66" t="s">
        <v>40</v>
      </c>
      <c r="C34" s="51" t="s">
        <v>64</v>
      </c>
      <c r="D34" s="67">
        <f>12.7*115.6521-D28</f>
        <v>1306.8687300000001</v>
      </c>
      <c r="E34" s="68">
        <f>12.7*116.1223-E28</f>
        <v>1312.1819899999998</v>
      </c>
      <c r="F34" s="68">
        <f>12.7*116.9832-F28</f>
        <v>1415.4967199999999</v>
      </c>
      <c r="G34" s="68">
        <f>12.7*117.4218-G28</f>
        <v>1420.80378</v>
      </c>
      <c r="H34" s="68">
        <f>12.3*117.8553-H28</f>
        <v>1225.6951200000001</v>
      </c>
      <c r="I34" s="68">
        <f>11.5*119.0553-I28</f>
        <v>1178.6474700000001</v>
      </c>
      <c r="J34" s="68">
        <f>11.5*119.8343-J28</f>
        <v>1186.3595700000001</v>
      </c>
      <c r="K34" s="68">
        <f>11.5*119.932-K28</f>
        <v>1187.3268</v>
      </c>
      <c r="L34" s="68">
        <f>11.5*120.415-L28</f>
        <v>1192.1085</v>
      </c>
      <c r="M34" s="68">
        <f>11.5*121.3417-M28</f>
        <v>1201.2828300000001</v>
      </c>
      <c r="N34" s="68">
        <f>11.5*121.8522-N28</f>
        <v>1279.4480999999998</v>
      </c>
      <c r="O34" s="68">
        <f>10.4*122.0421-O28</f>
        <v>1269.23784</v>
      </c>
      <c r="P34" s="69">
        <f>10.4*123.1541-P28</f>
        <v>1280.8026400000001</v>
      </c>
      <c r="Q34" s="69">
        <f>10.4*125.4111-Q28</f>
        <v>1304.2754400000001</v>
      </c>
      <c r="R34" s="69">
        <f>10.4*126.3835-R28</f>
        <v>1314.3884</v>
      </c>
      <c r="S34" s="69">
        <f>10.5*126.5582-S28</f>
        <v>1328.8611000000001</v>
      </c>
      <c r="T34" s="69">
        <f>10.4*127.5727-T28</f>
        <v>1326.7560800000001</v>
      </c>
      <c r="U34" s="70">
        <f>9.9*128.2704-U28</f>
        <v>1269.8769600000001</v>
      </c>
      <c r="V34" s="70">
        <f>9.9*129.1064-V28</f>
        <v>1278.15336</v>
      </c>
      <c r="W34" s="70">
        <f>9.9*129.0391-W28</f>
        <v>1277.4870899999999</v>
      </c>
      <c r="X34" s="70">
        <f>9.9*128.4404-X28</f>
        <v>1271.55996</v>
      </c>
      <c r="Y34" s="70">
        <f>9.9*128.2591-Y28</f>
        <v>1269.7650899999999</v>
      </c>
      <c r="Z34" s="70">
        <f>9.9*128.1053-Z28</f>
        <v>1268.2424700000001</v>
      </c>
      <c r="AA34" s="70">
        <f>9.92*128.6672-AA28</f>
        <v>1276.3786240000002</v>
      </c>
      <c r="AB34" s="70">
        <f>9.9*129.4011-AB28</f>
        <v>1281.0708900000002</v>
      </c>
      <c r="AC34" s="70">
        <f>9.9*130.1443-AC28</f>
        <v>1288.4285699999998</v>
      </c>
      <c r="AD34" s="83">
        <f>9.9*128.6228-AD29</f>
        <v>1273.3657200000002</v>
      </c>
      <c r="AE34" s="83">
        <f>9.93*128.2195-AE29</f>
        <v>1273.2196350000002</v>
      </c>
      <c r="AF34" s="83">
        <f>9.9*129.6466-AF29</f>
        <v>1283.50134</v>
      </c>
      <c r="AG34" s="83">
        <f>8.9*129.91-AG29</f>
        <v>1156.1990000000001</v>
      </c>
      <c r="AH34" s="83">
        <f>8.9*127.2868-AH29</f>
        <v>1132.8525200000001</v>
      </c>
      <c r="AI34" s="83">
        <f>8.9*126.0787-AI29</f>
        <v>1122.10043</v>
      </c>
      <c r="AJ34" s="83">
        <f>8.9*125.0004-AJ29</f>
        <v>1112.5035600000001</v>
      </c>
      <c r="AK34" s="83">
        <f>8.9*125.3866-AK29</f>
        <v>1115.94074</v>
      </c>
      <c r="AL34" s="70">
        <f>8.9*128.154-AL29</f>
        <v>1140.5706</v>
      </c>
      <c r="AM34" s="83">
        <f>8.3*125.985-AM28</f>
        <v>1045.6755000000001</v>
      </c>
      <c r="AN34" s="83">
        <v>1052.7</v>
      </c>
      <c r="AO34" s="71">
        <v>1074.3810000000001</v>
      </c>
      <c r="AP34" s="5">
        <v>1074.3810000000001</v>
      </c>
      <c r="AQ34" s="11">
        <v>0</v>
      </c>
      <c r="AR34" s="11">
        <v>0</v>
      </c>
      <c r="AS34" s="77">
        <v>0</v>
      </c>
      <c r="AT34" s="71">
        <v>0</v>
      </c>
      <c r="AU34" s="71">
        <v>0</v>
      </c>
      <c r="AV34" s="71">
        <v>0</v>
      </c>
      <c r="AW34" s="71">
        <v>0</v>
      </c>
      <c r="AX34" s="72">
        <v>0</v>
      </c>
      <c r="AY34" s="72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71">
        <v>0</v>
      </c>
      <c r="BF34" s="71">
        <v>0</v>
      </c>
      <c r="BG34" s="71">
        <v>0</v>
      </c>
      <c r="BH34" s="73">
        <v>0</v>
      </c>
      <c r="BI34" s="73">
        <v>0</v>
      </c>
      <c r="BJ34" s="73">
        <v>0</v>
      </c>
      <c r="BK34" s="73">
        <v>0</v>
      </c>
      <c r="BL34" s="73">
        <v>0</v>
      </c>
      <c r="BM34" s="73">
        <v>0</v>
      </c>
      <c r="BN34" s="73">
        <v>0</v>
      </c>
      <c r="BO34" s="73">
        <v>0</v>
      </c>
      <c r="BP34" s="73">
        <v>0</v>
      </c>
      <c r="BQ34" s="73">
        <v>0</v>
      </c>
      <c r="BR34" s="73">
        <v>0</v>
      </c>
      <c r="BS34" s="73">
        <v>0</v>
      </c>
      <c r="BT34" s="73">
        <v>0</v>
      </c>
      <c r="BU34" s="73">
        <v>0</v>
      </c>
      <c r="BV34" s="73">
        <v>0</v>
      </c>
      <c r="BW34" s="73">
        <v>0</v>
      </c>
      <c r="BX34" s="73">
        <v>0</v>
      </c>
      <c r="BY34" s="73">
        <v>0</v>
      </c>
      <c r="BZ34" s="73">
        <v>0</v>
      </c>
      <c r="CA34" s="73">
        <v>0</v>
      </c>
      <c r="CB34" s="73">
        <v>0</v>
      </c>
      <c r="CC34" s="20">
        <v>0</v>
      </c>
      <c r="CD34" s="20">
        <v>0</v>
      </c>
      <c r="CE34" s="20">
        <v>0</v>
      </c>
      <c r="CF34" s="20">
        <v>0</v>
      </c>
      <c r="CG34" s="20">
        <v>0</v>
      </c>
      <c r="CH34" s="20">
        <v>0</v>
      </c>
      <c r="CI34" s="20">
        <v>0</v>
      </c>
      <c r="CJ34" s="74">
        <v>0</v>
      </c>
      <c r="CK34" s="74">
        <v>0</v>
      </c>
      <c r="CL34" s="74">
        <v>0</v>
      </c>
      <c r="CM34" s="74">
        <v>0</v>
      </c>
      <c r="CN34" s="74">
        <v>0</v>
      </c>
      <c r="CO34" s="74">
        <v>0</v>
      </c>
      <c r="CP34" s="74">
        <v>0</v>
      </c>
      <c r="CQ34" s="74">
        <v>0</v>
      </c>
      <c r="CR34" s="74">
        <v>0</v>
      </c>
      <c r="CS34" s="74">
        <v>0</v>
      </c>
      <c r="CT34" s="74">
        <v>0</v>
      </c>
      <c r="CU34" s="74">
        <v>0</v>
      </c>
      <c r="CV34" s="74">
        <v>0</v>
      </c>
      <c r="CW34" s="74">
        <v>0</v>
      </c>
      <c r="CX34" s="74">
        <v>0</v>
      </c>
      <c r="CY34" s="74">
        <v>0</v>
      </c>
      <c r="CZ34" s="74">
        <v>0</v>
      </c>
      <c r="DA34" s="74">
        <v>0</v>
      </c>
      <c r="DB34" s="74">
        <v>0</v>
      </c>
      <c r="DC34" s="74">
        <v>0</v>
      </c>
      <c r="DD34" s="74">
        <v>0</v>
      </c>
      <c r="DE34" s="74">
        <v>0</v>
      </c>
      <c r="DF34" s="74">
        <v>0</v>
      </c>
      <c r="DG34" s="74">
        <v>0</v>
      </c>
      <c r="DH34" s="74">
        <v>0</v>
      </c>
      <c r="DI34" s="74">
        <v>0</v>
      </c>
      <c r="DJ34" s="74">
        <v>0</v>
      </c>
      <c r="DK34" s="74">
        <v>0</v>
      </c>
      <c r="DL34" s="74">
        <v>0</v>
      </c>
      <c r="DM34" s="74">
        <v>0</v>
      </c>
      <c r="DN34" s="74">
        <v>0</v>
      </c>
      <c r="DO34" s="74">
        <v>0</v>
      </c>
      <c r="DP34" s="74">
        <v>0</v>
      </c>
      <c r="DQ34" s="74">
        <v>0</v>
      </c>
      <c r="DR34" s="74">
        <v>0</v>
      </c>
      <c r="DS34" s="74">
        <v>0</v>
      </c>
      <c r="DT34" s="74">
        <v>0</v>
      </c>
      <c r="DU34" s="74">
        <v>0</v>
      </c>
      <c r="DV34" s="74">
        <v>0</v>
      </c>
      <c r="DW34" s="74">
        <v>0</v>
      </c>
      <c r="DX34" s="74">
        <v>0</v>
      </c>
      <c r="DY34" s="74">
        <v>0</v>
      </c>
      <c r="DZ34" s="74">
        <v>0</v>
      </c>
      <c r="EA34" s="74">
        <v>0</v>
      </c>
      <c r="EB34" s="74">
        <v>0</v>
      </c>
      <c r="EC34" s="74">
        <v>0</v>
      </c>
      <c r="ED34" s="74">
        <v>0</v>
      </c>
      <c r="EE34" s="74">
        <v>0</v>
      </c>
      <c r="EF34" s="74">
        <v>0</v>
      </c>
      <c r="EG34" s="74">
        <v>0</v>
      </c>
      <c r="EH34" s="74">
        <v>0</v>
      </c>
    </row>
    <row r="35" spans="1:138" ht="15" thickBot="1" x14ac:dyDescent="0.4">
      <c r="A35" s="84" t="s">
        <v>89</v>
      </c>
      <c r="B35" s="85" t="s">
        <v>41</v>
      </c>
      <c r="C35" s="86" t="s">
        <v>65</v>
      </c>
      <c r="D35" s="87">
        <f>4107.5*115.6521-D29</f>
        <v>427623.63974999997</v>
      </c>
      <c r="E35" s="88">
        <f>4099.6*116.1223-E29</f>
        <v>429362.20425000001</v>
      </c>
      <c r="F35" s="88">
        <f>3837.5*116.9832-F29</f>
        <v>432545.38199999998</v>
      </c>
      <c r="G35" s="88">
        <f>5707.6*117.4218-G29</f>
        <v>669010.70550000004</v>
      </c>
      <c r="H35" s="88">
        <f>5707.6*117.8553-H29</f>
        <v>671480.57175000012</v>
      </c>
      <c r="I35" s="88">
        <f>5707.6*119.0553-I29</f>
        <v>678317.57175000012</v>
      </c>
      <c r="J35" s="88">
        <f>5707.6*119.8343-J29</f>
        <v>682755.92425000004</v>
      </c>
      <c r="K35" s="88">
        <f>5699.8*119.932-K29</f>
        <v>683324.56320000009</v>
      </c>
      <c r="L35" s="89">
        <f>5699.8*120.415-L29</f>
        <v>684438.86</v>
      </c>
      <c r="M35" s="89">
        <f>5686.2*121.3417-M29</f>
        <v>688055.97568000003</v>
      </c>
      <c r="N35" s="89">
        <f>5686.8*121.8522-N29</f>
        <v>691023.82619999989</v>
      </c>
      <c r="O35" s="89">
        <f>5687.6*122.0421-O29</f>
        <v>694126.64796000009</v>
      </c>
      <c r="P35" s="90">
        <f>5688.8*123.1541-P29</f>
        <v>700599.04408000002</v>
      </c>
      <c r="Q35" s="90">
        <f>5681.7*125.4111-Q29</f>
        <v>712548.24687000003</v>
      </c>
      <c r="R35" s="90">
        <f>5665*126.3835-R29</f>
        <v>715962.52749999997</v>
      </c>
      <c r="S35" s="90">
        <f>5665*126.5582-S29</f>
        <v>716952.20299999998</v>
      </c>
      <c r="T35" s="90">
        <f>5627*127.5727-T29</f>
        <v>717851.58290000004</v>
      </c>
      <c r="U35" s="91">
        <f>5627*128.2704-U29</f>
        <v>721777.54079999996</v>
      </c>
      <c r="V35" s="91">
        <f>5622.8*129.1064-V29</f>
        <v>725939.4659200001</v>
      </c>
      <c r="W35" s="91">
        <f>5610.3*129.0391-W29</f>
        <v>723948.06273000001</v>
      </c>
      <c r="X35" s="91">
        <f>5610.3*128.4404-X29</f>
        <v>710442.38452000008</v>
      </c>
      <c r="Y35" s="91">
        <f>5610.3*128.2591-Y29</f>
        <v>709529.34120000002</v>
      </c>
      <c r="Z35" s="91">
        <f>5610.3*128.1053-Z29</f>
        <v>708678.51960000012</v>
      </c>
      <c r="AA35" s="91">
        <f>5610.28*128.6672-AA29</f>
        <v>711687.87665599992</v>
      </c>
      <c r="AB35" s="91">
        <f>5610.3*129.4011-AB29</f>
        <v>715756.30443000013</v>
      </c>
      <c r="AC35" s="91">
        <f>5602.4*130.1443-AC29</f>
        <v>718839.0266199999</v>
      </c>
      <c r="AD35" s="91">
        <f>5424.4*128.6228-AD29</f>
        <v>697701.51632000005</v>
      </c>
      <c r="AE35" s="91">
        <f>5424.41*128.2195-AE29</f>
        <v>695515.137995</v>
      </c>
      <c r="AF35" s="91">
        <f>6148.5*129.6466-AF29</f>
        <v>797132.12010000006</v>
      </c>
      <c r="AG35" s="91">
        <f>6148.5*129.91-AG29</f>
        <v>798751.63500000001</v>
      </c>
      <c r="AH35" s="91">
        <f>6148.5*127.2868-AH29</f>
        <v>782622.8898</v>
      </c>
      <c r="AI35" s="91">
        <f>6147.8*126.0787-AI29</f>
        <v>775106.63185999996</v>
      </c>
      <c r="AJ35" s="91">
        <f>6141.9*125.0004-AJ29</f>
        <v>767739.95675999997</v>
      </c>
      <c r="AK35" s="91">
        <f>6141.9*125.3866-AK29</f>
        <v>770111.95853999991</v>
      </c>
      <c r="AL35" s="92">
        <f>6141.9*128.154-AL29</f>
        <v>787109.05259999994</v>
      </c>
      <c r="AM35" s="91">
        <f>6141.9*125.985-AM29</f>
        <v>761276.96099999989</v>
      </c>
      <c r="AN35" s="91">
        <v>769697.13</v>
      </c>
      <c r="AO35" s="91">
        <v>785474.83299999998</v>
      </c>
      <c r="AP35" s="10">
        <v>773974.27624000004</v>
      </c>
      <c r="AQ35" s="13">
        <v>807363.97</v>
      </c>
      <c r="AR35" s="13">
        <v>819932.52461999992</v>
      </c>
      <c r="AS35" s="91">
        <v>805106.57414000016</v>
      </c>
      <c r="AT35" s="10">
        <v>766541.34</v>
      </c>
      <c r="AU35" s="10">
        <v>761680.44568999985</v>
      </c>
      <c r="AV35" s="91">
        <v>760464.4</v>
      </c>
      <c r="AW35" s="91">
        <v>810380.23</v>
      </c>
      <c r="AX35" s="93">
        <v>766951.95</v>
      </c>
      <c r="AY35" s="93">
        <v>753020.08</v>
      </c>
      <c r="AZ35" s="18">
        <v>803597.09</v>
      </c>
      <c r="BA35" s="18">
        <v>790759.26</v>
      </c>
      <c r="BB35" s="18">
        <v>779554.33</v>
      </c>
      <c r="BC35" s="18">
        <v>812639.6</v>
      </c>
      <c r="BD35" s="18">
        <v>818981.04</v>
      </c>
      <c r="BE35" s="91">
        <v>730359.23</v>
      </c>
      <c r="BF35" s="91">
        <v>757174.55</v>
      </c>
      <c r="BG35" s="91">
        <v>733814.93</v>
      </c>
      <c r="BH35" s="94">
        <v>716270.31</v>
      </c>
      <c r="BI35" s="94">
        <v>763014.9</v>
      </c>
      <c r="BJ35" s="94">
        <v>740211.19</v>
      </c>
      <c r="BK35" s="94">
        <v>730618.85</v>
      </c>
      <c r="BL35" s="94">
        <v>771424.55</v>
      </c>
      <c r="BM35" s="94">
        <v>774315.41</v>
      </c>
      <c r="BN35" s="94">
        <v>754729.83</v>
      </c>
      <c r="BO35" s="94">
        <v>797837.05</v>
      </c>
      <c r="BP35" s="94">
        <v>804737.5</v>
      </c>
      <c r="BQ35" s="94">
        <v>766015.92</v>
      </c>
      <c r="BR35" s="94">
        <v>766015.92</v>
      </c>
      <c r="BS35" s="94">
        <v>790947.33</v>
      </c>
      <c r="BT35" s="94">
        <v>767824.12</v>
      </c>
      <c r="BU35" s="94">
        <v>805306.4</v>
      </c>
      <c r="BV35" s="94">
        <v>817834.94</v>
      </c>
      <c r="BW35" s="94">
        <v>788995.83444500004</v>
      </c>
      <c r="BX35" s="94">
        <v>830592.6</v>
      </c>
      <c r="BY35" s="94">
        <v>803916.18</v>
      </c>
      <c r="BZ35" s="94">
        <v>798532.58</v>
      </c>
      <c r="CA35" s="94">
        <v>831172.76</v>
      </c>
      <c r="CB35" s="94">
        <v>817752.24199999997</v>
      </c>
      <c r="CC35" s="94">
        <v>788742.47046999994</v>
      </c>
      <c r="CD35" s="94">
        <v>833816.95828999998</v>
      </c>
      <c r="CE35" s="94">
        <v>839261.11</v>
      </c>
      <c r="CF35" s="94">
        <v>829843.80024000001</v>
      </c>
      <c r="CG35" s="94">
        <v>807675.39324999996</v>
      </c>
      <c r="CH35" s="94">
        <v>800194.14</v>
      </c>
      <c r="CI35" s="94">
        <v>790820.31499999994</v>
      </c>
      <c r="CJ35" s="95">
        <v>796351.11699999997</v>
      </c>
      <c r="CK35" s="95">
        <v>795771.55</v>
      </c>
      <c r="CL35" s="95">
        <v>778491.30721999996</v>
      </c>
      <c r="CM35" s="95">
        <v>789192.87882600003</v>
      </c>
      <c r="CN35" s="95">
        <v>778717.32</v>
      </c>
      <c r="CO35" s="95">
        <v>784971.12</v>
      </c>
      <c r="CP35" s="95">
        <v>791727.94</v>
      </c>
      <c r="CQ35" s="95">
        <v>794696.22135199991</v>
      </c>
      <c r="CR35" s="95">
        <v>780124.59</v>
      </c>
      <c r="CS35" s="95">
        <v>790648.04020499997</v>
      </c>
      <c r="CT35" s="95">
        <v>788627.6</v>
      </c>
      <c r="CU35" s="95">
        <v>774278.25</v>
      </c>
      <c r="CV35" s="95">
        <v>786590.22493800009</v>
      </c>
      <c r="CW35" s="95">
        <v>799501.97</v>
      </c>
      <c r="CX35" s="95">
        <v>792384.17</v>
      </c>
      <c r="CY35" s="95">
        <v>778792.80695799994</v>
      </c>
      <c r="CZ35" s="95">
        <v>777745.71714350011</v>
      </c>
      <c r="DA35" s="95">
        <v>778060.25445000001</v>
      </c>
      <c r="DB35" s="95">
        <v>781040.72618999996</v>
      </c>
      <c r="DC35" s="95">
        <v>777354.61702799995</v>
      </c>
      <c r="DD35" s="95">
        <v>775557.74208</v>
      </c>
      <c r="DE35" s="95">
        <v>782498.81463599997</v>
      </c>
      <c r="DF35" s="95">
        <v>784136.50698499999</v>
      </c>
      <c r="DG35" s="95">
        <v>774378.05702399998</v>
      </c>
      <c r="DH35" s="95">
        <v>784888.22141599993</v>
      </c>
      <c r="DI35" s="95">
        <v>779486.37614100007</v>
      </c>
      <c r="DJ35" s="95">
        <v>766916.24780300003</v>
      </c>
      <c r="DK35" s="95">
        <v>757296.20976</v>
      </c>
      <c r="DL35" s="95">
        <v>759454.31762999995</v>
      </c>
      <c r="DM35" s="95">
        <v>762553.25292</v>
      </c>
      <c r="DN35" s="95">
        <v>764528.67771800002</v>
      </c>
      <c r="DO35" s="95">
        <v>755818.5094460001</v>
      </c>
      <c r="DP35" s="95">
        <v>751314.056629</v>
      </c>
      <c r="DQ35" s="95">
        <v>755914.86306000012</v>
      </c>
      <c r="DR35" s="95">
        <v>755450.34724599996</v>
      </c>
      <c r="DS35" s="95">
        <v>735503.36059200007</v>
      </c>
      <c r="DT35" s="95">
        <v>740404.91593599995</v>
      </c>
      <c r="DU35" s="95">
        <v>743162.96030400007</v>
      </c>
      <c r="DV35" s="95">
        <v>743152.86101200012</v>
      </c>
      <c r="DW35" s="95">
        <v>747128.11409300007</v>
      </c>
      <c r="DX35" s="95">
        <v>746503.10840000003</v>
      </c>
      <c r="DY35" s="95">
        <v>747067.78088999994</v>
      </c>
      <c r="DZ35" s="95">
        <v>748090.16087999998</v>
      </c>
      <c r="EA35" s="95">
        <v>746918.01878399996</v>
      </c>
      <c r="EB35" s="95">
        <v>740114.63577000005</v>
      </c>
      <c r="EC35" s="95">
        <v>730583.23164100002</v>
      </c>
      <c r="ED35" s="95">
        <v>729451.30112100008</v>
      </c>
      <c r="EE35" s="95">
        <v>735128.74600000004</v>
      </c>
      <c r="EF35" s="95">
        <v>669395.31032360008</v>
      </c>
      <c r="EG35" s="95">
        <v>672249.63043699996</v>
      </c>
      <c r="EH35" s="95">
        <v>671745.74762199994</v>
      </c>
    </row>
    <row r="36" spans="1:138" x14ac:dyDescent="0.35">
      <c r="AC36" s="4"/>
      <c r="AJ36" s="83"/>
      <c r="AM36" s="37"/>
      <c r="AP36" s="1"/>
      <c r="AR36" s="1"/>
      <c r="BA36" s="17"/>
      <c r="BC36" s="1"/>
      <c r="BG36" s="1"/>
      <c r="BH36" s="71"/>
      <c r="BK36" s="8"/>
      <c r="BS36" s="38"/>
      <c r="BU36" s="56"/>
      <c r="BY36" s="22"/>
      <c r="BZ36" s="96"/>
      <c r="CA36" s="14"/>
      <c r="CB36" s="8"/>
      <c r="CD36" s="56"/>
      <c r="CK36" s="56"/>
      <c r="CL36" s="56"/>
    </row>
  </sheetData>
  <phoneticPr fontId="19" type="noConversion"/>
  <dataValidations count="2">
    <dataValidation type="list" allowBlank="1" showErrorMessage="1" prompt="_x000a_" sqref="B5" xr:uid="{7C2DC737-CE17-46CA-84E8-B2BF385D3A6B}">
      <formula1>$WVP$2:$WVP$5</formula1>
    </dataValidation>
    <dataValidation type="list" allowBlank="1" showInputMessage="1" showErrorMessage="1" sqref="B6" xr:uid="{A1A25BE5-87C9-45B8-9B2F-FCE68B4CD04F}">
      <formula1>$WVO$2:$WVO$4</formula1>
    </dataValidation>
  </dataValidations>
  <pageMargins left="0.17" right="0.1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Ministry of Finance and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yvolyn.maxwell;Melisha Forbes</dc:creator>
  <cp:lastModifiedBy>Suzell Wray</cp:lastModifiedBy>
  <cp:lastPrinted>2022-11-09T21:09:03Z</cp:lastPrinted>
  <dcterms:created xsi:type="dcterms:W3CDTF">2017-01-20T01:08:50Z</dcterms:created>
  <dcterms:modified xsi:type="dcterms:W3CDTF">2026-07-31T17:10:29Z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